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DOSSIER ECONOMIE\1_BUDGET ECONOMIE\2021\"/>
    </mc:Choice>
  </mc:AlternateContent>
  <bookViews>
    <workbookView xWindow="0" yWindow="0" windowWidth="21600" windowHeight="10620" tabRatio="948"/>
  </bookViews>
  <sheets>
    <sheet name="BUDGET ETUDES CNIV" sheetId="1" r:id="rId1"/>
    <sheet name="Facturation Cniv" sheetId="23" r:id="rId2"/>
    <sheet name="COUT PAR IP DES OUTILS" sheetId="2" r:id="rId3"/>
    <sheet name="MONOPOLES" sheetId="4" state="hidden" r:id="rId4"/>
    <sheet name="PANELS IRI" sheetId="5" state="hidden" r:id="rId5"/>
    <sheet name="Monographies vin" sheetId="6" state="hidden" r:id="rId6"/>
    <sheet name="Feuil1" sheetId="7" state="hidden" r:id="rId7"/>
    <sheet name="IRI FR VT" sheetId="9" r:id="rId8"/>
    <sheet name="IRI FR EFF" sheetId="10" r:id="rId9"/>
    <sheet name="KANTAR" sheetId="14" r:id="rId10"/>
    <sheet name="PANEL CHR FRANCE" sheetId="17" r:id="rId11"/>
    <sheet name="RO Cavistes" sheetId="21" r:id="rId12"/>
    <sheet name="IRI UK" sheetId="11" r:id="rId13"/>
    <sheet name="IRI ALL" sheetId="12" r:id="rId14"/>
    <sheet name="IRI PB" sheetId="13" r:id="rId15"/>
    <sheet name="GfK" sheetId="15" r:id="rId16"/>
    <sheet name="GTI" sheetId="20" r:id="rId17"/>
    <sheet name="DETAIL MONOPOLES" sheetId="16" r:id="rId18"/>
    <sheet name="WINE INTELLIGENCE" sheetId="19" r:id="rId19"/>
    <sheet name="ANNEXE 1 Grille" sheetId="18" r:id="rId2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0" i="1"/>
  <c r="H22" i="23"/>
  <c r="G22" i="23"/>
  <c r="F22" i="23"/>
  <c r="E22" i="23"/>
  <c r="H10" i="23"/>
  <c r="G10" i="23"/>
  <c r="F10" i="23"/>
  <c r="E10" i="23"/>
  <c r="F15" i="23"/>
  <c r="E9" i="23"/>
  <c r="H27" i="23"/>
  <c r="G27" i="23"/>
  <c r="F27" i="23"/>
  <c r="E27" i="23"/>
  <c r="H24" i="23"/>
  <c r="G24" i="23"/>
  <c r="F24" i="23"/>
  <c r="E24" i="23"/>
  <c r="H23" i="23"/>
  <c r="G23" i="23"/>
  <c r="F23" i="23"/>
  <c r="E23" i="23"/>
  <c r="H21" i="23"/>
  <c r="G21" i="23"/>
  <c r="F21" i="23"/>
  <c r="E21" i="23"/>
  <c r="H20" i="23"/>
  <c r="G20" i="23"/>
  <c r="F20" i="23"/>
  <c r="E20" i="23"/>
  <c r="H19" i="23"/>
  <c r="G19" i="23"/>
  <c r="F19" i="23"/>
  <c r="E19" i="23"/>
  <c r="H18" i="23"/>
  <c r="G18" i="23"/>
  <c r="F18" i="23"/>
  <c r="E18" i="23"/>
  <c r="H17" i="23"/>
  <c r="G17" i="23"/>
  <c r="F17" i="23"/>
  <c r="E17" i="23"/>
  <c r="H16" i="23"/>
  <c r="G16" i="23"/>
  <c r="F16" i="23"/>
  <c r="E16" i="23"/>
  <c r="H15" i="23"/>
  <c r="G15" i="23"/>
  <c r="E15" i="23"/>
  <c r="H14" i="23"/>
  <c r="G14" i="23"/>
  <c r="F14" i="23"/>
  <c r="E14" i="23"/>
  <c r="H13" i="23"/>
  <c r="G13" i="23"/>
  <c r="F11" i="23"/>
  <c r="F13" i="23"/>
  <c r="E13" i="23"/>
  <c r="H11" i="23"/>
  <c r="G11" i="23"/>
  <c r="E11" i="23"/>
  <c r="H5" i="23"/>
  <c r="H6" i="23"/>
  <c r="H7" i="23"/>
  <c r="H8" i="23"/>
  <c r="H9" i="23"/>
  <c r="H4" i="23"/>
  <c r="G5" i="23"/>
  <c r="G6" i="23"/>
  <c r="G7" i="23"/>
  <c r="G8" i="23"/>
  <c r="G9" i="23"/>
  <c r="G4" i="23"/>
  <c r="F5" i="23"/>
  <c r="F6" i="23"/>
  <c r="F7" i="23"/>
  <c r="F8" i="23"/>
  <c r="F9" i="23"/>
  <c r="F4" i="23"/>
  <c r="E7" i="23"/>
  <c r="E8" i="23"/>
  <c r="E5" i="23"/>
  <c r="E6" i="23"/>
  <c r="E4" i="23"/>
  <c r="B28" i="23"/>
  <c r="B12" i="23"/>
  <c r="D22" i="23" l="1"/>
  <c r="B22" i="23" s="1"/>
  <c r="D10" i="23"/>
  <c r="D18" i="23"/>
  <c r="D27" i="23"/>
  <c r="B27" i="23" s="1"/>
  <c r="D24" i="23"/>
  <c r="B24" i="23" s="1"/>
  <c r="D23" i="23"/>
  <c r="B23" i="23" s="1"/>
  <c r="D21" i="23"/>
  <c r="B21" i="23" s="1"/>
  <c r="D20" i="23"/>
  <c r="B20" i="23" s="1"/>
  <c r="D19" i="23"/>
  <c r="B19" i="23" s="1"/>
  <c r="D17" i="23"/>
  <c r="B17" i="23" s="1"/>
  <c r="D16" i="23"/>
  <c r="B16" i="23" s="1"/>
  <c r="D15" i="23"/>
  <c r="B15" i="23" s="1"/>
  <c r="D14" i="23"/>
  <c r="B14" i="23" s="1"/>
  <c r="D13" i="23"/>
  <c r="B13" i="23" s="1"/>
  <c r="D11" i="23"/>
  <c r="B11" i="23" s="1"/>
  <c r="D9" i="23"/>
  <c r="B9" i="23" s="1"/>
  <c r="D5" i="23"/>
  <c r="B5" i="23" s="1"/>
  <c r="D8" i="23"/>
  <c r="B8" i="23" s="1"/>
  <c r="H25" i="23"/>
  <c r="H29" i="23" s="1"/>
  <c r="D6" i="23"/>
  <c r="B6" i="23" s="1"/>
  <c r="D4" i="23"/>
  <c r="B4" i="23" s="1"/>
  <c r="G25" i="23"/>
  <c r="G29" i="23" s="1"/>
  <c r="D7" i="23"/>
  <c r="B7" i="23" s="1"/>
  <c r="F25" i="23"/>
  <c r="F29" i="23" s="1"/>
  <c r="B10" i="23"/>
  <c r="B18" i="23"/>
  <c r="E25" i="23"/>
  <c r="E29" i="23" s="1"/>
  <c r="D25" i="23" l="1"/>
  <c r="D29" i="23" s="1"/>
  <c r="B25" i="23"/>
  <c r="B29" i="23" s="1"/>
  <c r="O27" i="2" l="1"/>
  <c r="P27" i="2"/>
  <c r="D27" i="1" l="1"/>
  <c r="P8" i="16" l="1"/>
  <c r="P5" i="16" l="1"/>
  <c r="D8" i="9" l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5" i="9"/>
  <c r="D6" i="9"/>
  <c r="D7" i="9"/>
  <c r="D4" i="9"/>
  <c r="J26" i="9" l="1"/>
  <c r="J5" i="9" s="1"/>
  <c r="J12" i="9" l="1"/>
  <c r="J11" i="9"/>
  <c r="J18" i="9"/>
  <c r="J10" i="9"/>
  <c r="J7" i="9"/>
  <c r="J20" i="9"/>
  <c r="J19" i="9"/>
  <c r="J17" i="9"/>
  <c r="J9" i="9"/>
  <c r="J16" i="9"/>
  <c r="J4" i="9"/>
  <c r="J22" i="9"/>
  <c r="J14" i="9"/>
  <c r="J6" i="9"/>
  <c r="J8" i="9"/>
  <c r="J15" i="9"/>
  <c r="J21" i="9"/>
  <c r="J13" i="9"/>
  <c r="B32" i="21" l="1"/>
  <c r="K27" i="14" l="1"/>
  <c r="H22" i="14"/>
  <c r="J26" i="15" l="1"/>
  <c r="J13" i="1"/>
  <c r="C22" i="15"/>
  <c r="C17" i="15"/>
  <c r="C18" i="15"/>
  <c r="C19" i="15"/>
  <c r="C16" i="15"/>
  <c r="C13" i="15"/>
  <c r="C14" i="15"/>
  <c r="C12" i="15"/>
  <c r="C7" i="15"/>
  <c r="C8" i="15"/>
  <c r="C9" i="15"/>
  <c r="C6" i="15"/>
  <c r="C4" i="15"/>
  <c r="H27" i="12"/>
  <c r="H22" i="13"/>
  <c r="H17" i="13"/>
  <c r="H18" i="13"/>
  <c r="H19" i="13"/>
  <c r="H20" i="13"/>
  <c r="H16" i="13"/>
  <c r="H14" i="13"/>
  <c r="H13" i="13"/>
  <c r="H7" i="13"/>
  <c r="H8" i="13"/>
  <c r="H9" i="13"/>
  <c r="H6" i="13"/>
  <c r="H4" i="13"/>
  <c r="E46" i="13"/>
  <c r="F46" i="13"/>
  <c r="G46" i="13"/>
  <c r="H46" i="13"/>
  <c r="I46" i="13"/>
  <c r="J46" i="13"/>
  <c r="K46" i="13"/>
  <c r="L46" i="13"/>
  <c r="M46" i="13"/>
  <c r="N46" i="13"/>
  <c r="O46" i="13"/>
  <c r="D46" i="13"/>
  <c r="J138" i="11"/>
  <c r="J137" i="11"/>
  <c r="J136" i="11"/>
  <c r="J135" i="11"/>
  <c r="J125" i="11"/>
  <c r="J124" i="11"/>
  <c r="J123" i="11"/>
  <c r="J122" i="11"/>
  <c r="J93" i="11"/>
  <c r="J92" i="11"/>
  <c r="J91" i="11"/>
  <c r="J89" i="11"/>
  <c r="J90" i="11" s="1"/>
  <c r="J85" i="11"/>
  <c r="J84" i="11"/>
  <c r="J83" i="11"/>
  <c r="J82" i="11"/>
  <c r="J80" i="11"/>
  <c r="J78" i="11"/>
  <c r="J77" i="11"/>
  <c r="J72" i="11"/>
  <c r="J71" i="11"/>
  <c r="J70" i="11"/>
  <c r="I26" i="2"/>
  <c r="H20" i="1" s="1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6" i="2"/>
  <c r="I7" i="2"/>
  <c r="I8" i="2"/>
  <c r="I9" i="2"/>
  <c r="I10" i="2"/>
  <c r="I11" i="2"/>
  <c r="I5" i="2"/>
  <c r="C54" i="11"/>
  <c r="D32" i="11"/>
  <c r="D33" i="11"/>
  <c r="D34" i="11"/>
  <c r="D35" i="11"/>
  <c r="D36" i="11"/>
  <c r="D37" i="11"/>
  <c r="D38" i="11"/>
  <c r="D39" i="11"/>
  <c r="D40" i="11"/>
  <c r="D42" i="11"/>
  <c r="D43" i="11"/>
  <c r="D44" i="11"/>
  <c r="D45" i="11"/>
  <c r="D46" i="11"/>
  <c r="D47" i="11"/>
  <c r="D48" i="11"/>
  <c r="D49" i="11"/>
  <c r="D50" i="11"/>
  <c r="D51" i="11"/>
  <c r="D52" i="11"/>
  <c r="D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31" i="11"/>
  <c r="B32" i="11"/>
  <c r="B33" i="11"/>
  <c r="B34" i="11"/>
  <c r="B35" i="11"/>
  <c r="B36" i="11"/>
  <c r="B37" i="11"/>
  <c r="B38" i="11"/>
  <c r="B39" i="11"/>
  <c r="B40" i="11"/>
  <c r="B42" i="11"/>
  <c r="B43" i="11"/>
  <c r="B44" i="11"/>
  <c r="B45" i="11"/>
  <c r="B46" i="11"/>
  <c r="B47" i="11"/>
  <c r="B48" i="11"/>
  <c r="B49" i="11"/>
  <c r="B50" i="11"/>
  <c r="B51" i="11"/>
  <c r="B52" i="11"/>
  <c r="B31" i="11"/>
  <c r="H26" i="10"/>
  <c r="D64" i="10"/>
  <c r="D65" i="10"/>
  <c r="B55" i="10"/>
  <c r="C55" i="10"/>
  <c r="E55" i="10"/>
  <c r="F55" i="10"/>
  <c r="G55" i="10"/>
  <c r="H55" i="10"/>
  <c r="I55" i="10"/>
  <c r="J55" i="10"/>
  <c r="K55" i="10"/>
  <c r="C56" i="10"/>
  <c r="E56" i="10"/>
  <c r="F56" i="10"/>
  <c r="G56" i="10"/>
  <c r="H56" i="10"/>
  <c r="I56" i="10"/>
  <c r="J56" i="10"/>
  <c r="K56" i="10"/>
  <c r="C57" i="10"/>
  <c r="E57" i="10"/>
  <c r="F57" i="10"/>
  <c r="G57" i="10"/>
  <c r="H57" i="10"/>
  <c r="I57" i="10"/>
  <c r="J57" i="10"/>
  <c r="K57" i="10"/>
  <c r="E58" i="10"/>
  <c r="F58" i="10"/>
  <c r="G58" i="10"/>
  <c r="H58" i="10"/>
  <c r="I58" i="10"/>
  <c r="J58" i="10"/>
  <c r="K58" i="10"/>
  <c r="D66" i="10"/>
  <c r="D67" i="10"/>
  <c r="B68" i="10"/>
  <c r="C68" i="10"/>
  <c r="H68" i="10"/>
  <c r="I68" i="10"/>
  <c r="J68" i="10"/>
  <c r="C69" i="10"/>
  <c r="H69" i="10"/>
  <c r="I69" i="10"/>
  <c r="J69" i="10"/>
  <c r="C70" i="10"/>
  <c r="D70" i="10"/>
  <c r="D71" i="10"/>
  <c r="L44" i="10"/>
  <c r="D46" i="10"/>
  <c r="E46" i="10"/>
  <c r="E44" i="10" s="1"/>
  <c r="F46" i="10"/>
  <c r="F44" i="10" s="1"/>
  <c r="G46" i="10"/>
  <c r="G44" i="10" s="1"/>
  <c r="H46" i="10"/>
  <c r="H44" i="10" s="1"/>
  <c r="I46" i="10"/>
  <c r="I44" i="10" s="1"/>
  <c r="J46" i="10"/>
  <c r="J44" i="10" s="1"/>
  <c r="K46" i="10"/>
  <c r="D47" i="10"/>
  <c r="H26" i="2"/>
  <c r="H13" i="1" s="1"/>
  <c r="C4" i="21"/>
  <c r="C5" i="21"/>
  <c r="C6" i="21"/>
  <c r="C7" i="21"/>
  <c r="C8" i="21"/>
  <c r="C9" i="21"/>
  <c r="C12" i="21"/>
  <c r="C13" i="21"/>
  <c r="C15" i="21"/>
  <c r="C16" i="21"/>
  <c r="C17" i="21"/>
  <c r="C18" i="21"/>
  <c r="C19" i="21"/>
  <c r="C21" i="21"/>
  <c r="C3" i="21"/>
  <c r="M23" i="17"/>
  <c r="M2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4" i="17"/>
  <c r="L2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4" i="17"/>
  <c r="D3" i="20"/>
  <c r="B3" i="20" s="1"/>
  <c r="N6" i="2" s="1"/>
  <c r="D8" i="20"/>
  <c r="B8" i="20" s="1"/>
  <c r="N11" i="2" s="1"/>
  <c r="D9" i="20"/>
  <c r="D13" i="20"/>
  <c r="B13" i="20" s="1"/>
  <c r="N16" i="2" s="1"/>
  <c r="D18" i="20"/>
  <c r="D19" i="20"/>
  <c r="D20" i="20"/>
  <c r="D21" i="20"/>
  <c r="D22" i="20"/>
  <c r="B22" i="20" s="1"/>
  <c r="N25" i="2" s="1"/>
  <c r="D23" i="20"/>
  <c r="B23" i="20" s="1"/>
  <c r="N26" i="2" s="1"/>
  <c r="H18" i="1" s="1"/>
  <c r="C15" i="20"/>
  <c r="C16" i="20"/>
  <c r="C17" i="20"/>
  <c r="C14" i="20"/>
  <c r="C11" i="20"/>
  <c r="C12" i="20"/>
  <c r="C10" i="20"/>
  <c r="C5" i="20"/>
  <c r="C26" i="20" s="1"/>
  <c r="C6" i="20"/>
  <c r="C7" i="20"/>
  <c r="C4" i="20"/>
  <c r="C2" i="20"/>
  <c r="B9" i="20"/>
  <c r="N12" i="2" s="1"/>
  <c r="B18" i="20"/>
  <c r="N21" i="2" s="1"/>
  <c r="B19" i="20"/>
  <c r="N22" i="2" s="1"/>
  <c r="B20" i="20"/>
  <c r="N23" i="2" s="1"/>
  <c r="B21" i="20"/>
  <c r="N24" i="2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H19" i="1" s="1"/>
  <c r="P5" i="2"/>
  <c r="D23" i="19"/>
  <c r="J26" i="19"/>
  <c r="H26" i="19"/>
  <c r="G26" i="19"/>
  <c r="E26" i="19"/>
  <c r="D26" i="19"/>
  <c r="B26" i="19"/>
  <c r="J25" i="19"/>
  <c r="H25" i="19"/>
  <c r="G25" i="19"/>
  <c r="E25" i="19"/>
  <c r="D25" i="19"/>
  <c r="B25" i="19"/>
  <c r="J24" i="19"/>
  <c r="H24" i="19"/>
  <c r="G24" i="19"/>
  <c r="E24" i="19"/>
  <c r="D24" i="19"/>
  <c r="B24" i="19"/>
  <c r="I23" i="19"/>
  <c r="F23" i="19"/>
  <c r="C23" i="19"/>
  <c r="J22" i="19"/>
  <c r="H22" i="19"/>
  <c r="G22" i="19"/>
  <c r="E22" i="19"/>
  <c r="D22" i="19"/>
  <c r="B22" i="19"/>
  <c r="J21" i="19"/>
  <c r="H21" i="19"/>
  <c r="G21" i="19"/>
  <c r="E21" i="19"/>
  <c r="D21" i="19"/>
  <c r="B21" i="19"/>
  <c r="J20" i="19"/>
  <c r="H20" i="19"/>
  <c r="G20" i="19"/>
  <c r="E20" i="19"/>
  <c r="D20" i="19"/>
  <c r="B20" i="19"/>
  <c r="J19" i="19"/>
  <c r="H19" i="19"/>
  <c r="G19" i="19"/>
  <c r="E19" i="19"/>
  <c r="D19" i="19"/>
  <c r="B19" i="19"/>
  <c r="I18" i="19"/>
  <c r="F18" i="19"/>
  <c r="C18" i="19"/>
  <c r="I17" i="19"/>
  <c r="F17" i="19"/>
  <c r="C17" i="19"/>
  <c r="J16" i="19"/>
  <c r="H16" i="19"/>
  <c r="G16" i="19"/>
  <c r="E16" i="19"/>
  <c r="D16" i="19"/>
  <c r="B16" i="19"/>
  <c r="I15" i="19"/>
  <c r="F15" i="19"/>
  <c r="C15" i="19"/>
  <c r="I14" i="19"/>
  <c r="F14" i="19"/>
  <c r="C14" i="19"/>
  <c r="I13" i="19"/>
  <c r="F13" i="19"/>
  <c r="C13" i="19"/>
  <c r="J12" i="19"/>
  <c r="H12" i="19"/>
  <c r="G12" i="19"/>
  <c r="E12" i="19"/>
  <c r="D12" i="19"/>
  <c r="B12" i="19"/>
  <c r="J11" i="19"/>
  <c r="H11" i="19"/>
  <c r="G11" i="19"/>
  <c r="E11" i="19"/>
  <c r="D11" i="19"/>
  <c r="B11" i="19"/>
  <c r="J10" i="19"/>
  <c r="H10" i="19"/>
  <c r="G10" i="19"/>
  <c r="E10" i="19"/>
  <c r="D10" i="19"/>
  <c r="B10" i="19"/>
  <c r="I9" i="19"/>
  <c r="F9" i="19"/>
  <c r="C9" i="19"/>
  <c r="I8" i="19"/>
  <c r="F8" i="19"/>
  <c r="C8" i="19"/>
  <c r="J7" i="19"/>
  <c r="H7" i="19"/>
  <c r="G7" i="19"/>
  <c r="E7" i="19"/>
  <c r="D7" i="19"/>
  <c r="B7" i="19"/>
  <c r="J6" i="19"/>
  <c r="H6" i="19"/>
  <c r="G6" i="19"/>
  <c r="E6" i="19"/>
  <c r="D6" i="19"/>
  <c r="B6" i="19"/>
  <c r="I5" i="19"/>
  <c r="F5" i="19"/>
  <c r="C5" i="19"/>
  <c r="D9" i="1"/>
  <c r="K28" i="2"/>
  <c r="A52" i="13"/>
  <c r="A53" i="13"/>
  <c r="B77" i="9"/>
  <c r="C53" i="13"/>
  <c r="D47" i="13"/>
  <c r="P29" i="2" l="1"/>
  <c r="E19" i="1"/>
  <c r="G19" i="1" s="1"/>
  <c r="J52" i="13"/>
  <c r="C52" i="13"/>
  <c r="D69" i="10"/>
  <c r="D68" i="10"/>
  <c r="D58" i="10"/>
  <c r="D57" i="10"/>
  <c r="D56" i="10"/>
  <c r="D55" i="10"/>
  <c r="D44" i="10"/>
  <c r="C27" i="21"/>
  <c r="C25" i="21"/>
  <c r="D3" i="21"/>
  <c r="B3" i="21" s="1"/>
  <c r="H5" i="2" s="1"/>
  <c r="D5" i="21"/>
  <c r="B5" i="21" s="1"/>
  <c r="H7" i="2" s="1"/>
  <c r="D6" i="21"/>
  <c r="B6" i="21" s="1"/>
  <c r="H8" i="2" s="1"/>
  <c r="D7" i="21"/>
  <c r="B7" i="21" s="1"/>
  <c r="H9" i="2" s="1"/>
  <c r="D8" i="21"/>
  <c r="B8" i="21" s="1"/>
  <c r="H10" i="2" s="1"/>
  <c r="D11" i="21"/>
  <c r="B11" i="21" s="1"/>
  <c r="H13" i="2" s="1"/>
  <c r="D12" i="21"/>
  <c r="B12" i="21" s="1"/>
  <c r="H14" i="2" s="1"/>
  <c r="D13" i="21"/>
  <c r="B13" i="21" s="1"/>
  <c r="H15" i="2" s="1"/>
  <c r="D15" i="21"/>
  <c r="B15" i="21" s="1"/>
  <c r="H17" i="2" s="1"/>
  <c r="D16" i="21"/>
  <c r="B16" i="21" s="1"/>
  <c r="H18" i="2" s="1"/>
  <c r="D17" i="21"/>
  <c r="B17" i="21" s="1"/>
  <c r="H19" i="2" s="1"/>
  <c r="D18" i="21"/>
  <c r="B18" i="21" s="1"/>
  <c r="H20" i="2" s="1"/>
  <c r="C24" i="20"/>
  <c r="D2" i="20" s="1"/>
  <c r="D4" i="20"/>
  <c r="B4" i="20" s="1"/>
  <c r="N7" i="2" s="1"/>
  <c r="D7" i="20"/>
  <c r="B7" i="20" s="1"/>
  <c r="N10" i="2" s="1"/>
  <c r="D6" i="20"/>
  <c r="B6" i="20" s="1"/>
  <c r="N9" i="2" s="1"/>
  <c r="D5" i="20"/>
  <c r="B5" i="20" s="1"/>
  <c r="N8" i="2" s="1"/>
  <c r="D10" i="20"/>
  <c r="B10" i="20" s="1"/>
  <c r="N13" i="2" s="1"/>
  <c r="D12" i="20"/>
  <c r="B12" i="20" s="1"/>
  <c r="N15" i="2" s="1"/>
  <c r="D11" i="20"/>
  <c r="B11" i="20" s="1"/>
  <c r="N14" i="2" s="1"/>
  <c r="D14" i="20"/>
  <c r="B14" i="20" s="1"/>
  <c r="N17" i="2" s="1"/>
  <c r="D17" i="20"/>
  <c r="B17" i="20" s="1"/>
  <c r="N20" i="2" s="1"/>
  <c r="D16" i="20"/>
  <c r="B16" i="20" s="1"/>
  <c r="N19" i="2" s="1"/>
  <c r="D15" i="20"/>
  <c r="B15" i="20" s="1"/>
  <c r="N18" i="2" s="1"/>
  <c r="C28" i="19"/>
  <c r="C27" i="19"/>
  <c r="D5" i="19"/>
  <c r="B5" i="19" s="1"/>
  <c r="F28" i="19"/>
  <c r="F27" i="19"/>
  <c r="G5" i="19"/>
  <c r="I28" i="19"/>
  <c r="I27" i="19"/>
  <c r="J5" i="19"/>
  <c r="D8" i="19"/>
  <c r="B8" i="19" s="1"/>
  <c r="G8" i="19"/>
  <c r="E8" i="19" s="1"/>
  <c r="J8" i="19"/>
  <c r="H8" i="19" s="1"/>
  <c r="D9" i="19"/>
  <c r="B9" i="19" s="1"/>
  <c r="G9" i="19"/>
  <c r="E9" i="19" s="1"/>
  <c r="J9" i="19"/>
  <c r="H9" i="19" s="1"/>
  <c r="D13" i="19"/>
  <c r="B13" i="19" s="1"/>
  <c r="G13" i="19"/>
  <c r="E13" i="19" s="1"/>
  <c r="J13" i="19"/>
  <c r="H13" i="19" s="1"/>
  <c r="D14" i="19"/>
  <c r="B14" i="19" s="1"/>
  <c r="G14" i="19"/>
  <c r="E14" i="19" s="1"/>
  <c r="J14" i="19"/>
  <c r="H14" i="19" s="1"/>
  <c r="D15" i="19"/>
  <c r="B15" i="19" s="1"/>
  <c r="G15" i="19"/>
  <c r="E15" i="19" s="1"/>
  <c r="J15" i="19"/>
  <c r="H15" i="19" s="1"/>
  <c r="D17" i="19"/>
  <c r="B17" i="19" s="1"/>
  <c r="G17" i="19"/>
  <c r="E17" i="19" s="1"/>
  <c r="J17" i="19"/>
  <c r="H17" i="19" s="1"/>
  <c r="D18" i="19"/>
  <c r="B18" i="19" s="1"/>
  <c r="G18" i="19"/>
  <c r="E18" i="19" s="1"/>
  <c r="J18" i="19"/>
  <c r="H18" i="19" s="1"/>
  <c r="B23" i="19"/>
  <c r="G23" i="19"/>
  <c r="E23" i="19" s="1"/>
  <c r="J23" i="19"/>
  <c r="H23" i="19" s="1"/>
  <c r="E28" i="2"/>
  <c r="C28" i="2"/>
  <c r="B28" i="2" s="1"/>
  <c r="F43" i="9"/>
  <c r="G43" i="9"/>
  <c r="I43" i="9"/>
  <c r="J43" i="9"/>
  <c r="K43" i="9"/>
  <c r="L43" i="9"/>
  <c r="M43" i="9"/>
  <c r="N43" i="9"/>
  <c r="P43" i="9"/>
  <c r="Q43" i="9"/>
  <c r="B66" i="9"/>
  <c r="I28" i="2"/>
  <c r="A78" i="11"/>
  <c r="C78" i="11" s="1"/>
  <c r="C34" i="12"/>
  <c r="B76" i="9" l="1"/>
  <c r="C66" i="9"/>
  <c r="L66" i="9" s="1"/>
  <c r="M44" i="9" s="1"/>
  <c r="B24" i="21"/>
  <c r="D23" i="21"/>
  <c r="B23" i="21" s="1"/>
  <c r="H25" i="2" s="1"/>
  <c r="D22" i="21"/>
  <c r="B22" i="21" s="1"/>
  <c r="H24" i="2" s="1"/>
  <c r="D21" i="21"/>
  <c r="B21" i="21" s="1"/>
  <c r="H23" i="2" s="1"/>
  <c r="D20" i="21"/>
  <c r="B20" i="21" s="1"/>
  <c r="H22" i="2" s="1"/>
  <c r="D19" i="21"/>
  <c r="B19" i="21" s="1"/>
  <c r="H21" i="2" s="1"/>
  <c r="D14" i="21"/>
  <c r="B14" i="21" s="1"/>
  <c r="H16" i="2" s="1"/>
  <c r="D10" i="21"/>
  <c r="B10" i="21" s="1"/>
  <c r="H12" i="2" s="1"/>
  <c r="D9" i="21"/>
  <c r="B9" i="21" s="1"/>
  <c r="H11" i="2" s="1"/>
  <c r="D4" i="21"/>
  <c r="B4" i="21" s="1"/>
  <c r="H6" i="2" s="1"/>
  <c r="B2" i="20"/>
  <c r="H5" i="19"/>
  <c r="H27" i="19" s="1"/>
  <c r="H29" i="19" s="1"/>
  <c r="E5" i="19"/>
  <c r="E27" i="19" s="1"/>
  <c r="E29" i="19" s="1"/>
  <c r="B27" i="19"/>
  <c r="B29" i="19" s="1"/>
  <c r="D76" i="9"/>
  <c r="E43" i="9" s="1"/>
  <c r="G76" i="9"/>
  <c r="Q76" i="9"/>
  <c r="R43" i="9" s="1"/>
  <c r="D66" i="9"/>
  <c r="E44" i="9" s="1"/>
  <c r="Q66" i="9"/>
  <c r="R44" i="9" s="1"/>
  <c r="I66" i="9"/>
  <c r="J44" i="9" s="1"/>
  <c r="B85" i="9"/>
  <c r="C85" i="9" s="1"/>
  <c r="K66" i="9"/>
  <c r="L44" i="9" s="1"/>
  <c r="J66" i="9"/>
  <c r="K44" i="9" s="1"/>
  <c r="P66" i="9"/>
  <c r="Q44" i="9" s="1"/>
  <c r="H66" i="9"/>
  <c r="I44" i="9" s="1"/>
  <c r="N66" i="9"/>
  <c r="O44" i="9" s="1"/>
  <c r="F66" i="9"/>
  <c r="G44" i="9" s="1"/>
  <c r="G66" i="9"/>
  <c r="H44" i="9" s="1"/>
  <c r="M66" i="9"/>
  <c r="N44" i="9" s="1"/>
  <c r="E66" i="9"/>
  <c r="F44" i="9" s="1"/>
  <c r="F42" i="9" s="1"/>
  <c r="E5" i="9" s="1"/>
  <c r="O66" i="9"/>
  <c r="P44" i="9" s="1"/>
  <c r="D35" i="9"/>
  <c r="D36" i="10"/>
  <c r="B64" i="10" s="1"/>
  <c r="C66" i="10" s="1"/>
  <c r="C60" i="11"/>
  <c r="A77" i="11" s="1"/>
  <c r="C36" i="13"/>
  <c r="C32" i="13" s="1"/>
  <c r="H35" i="15"/>
  <c r="D35" i="15"/>
  <c r="M37" i="17"/>
  <c r="C36" i="14"/>
  <c r="C39" i="14" s="1"/>
  <c r="H37" i="17"/>
  <c r="B24" i="20" l="1"/>
  <c r="N5" i="2"/>
  <c r="N27" i="2" s="1"/>
  <c r="B25" i="21"/>
  <c r="K77" i="11"/>
  <c r="K71" i="11" s="1"/>
  <c r="M77" i="11"/>
  <c r="M71" i="11" s="1"/>
  <c r="N77" i="11"/>
  <c r="N71" i="11" s="1"/>
  <c r="I77" i="11"/>
  <c r="I71" i="11" s="1"/>
  <c r="B26" i="20"/>
  <c r="D44" i="9"/>
  <c r="M33" i="17"/>
  <c r="K26" i="17" s="1"/>
  <c r="M36" i="17"/>
  <c r="K24" i="17"/>
  <c r="G25" i="2" s="1"/>
  <c r="H36" i="17"/>
  <c r="H33" i="17"/>
  <c r="H34" i="17" s="1"/>
  <c r="D34" i="15"/>
  <c r="H31" i="15"/>
  <c r="H32" i="15" s="1"/>
  <c r="H34" i="15"/>
  <c r="H62" i="13"/>
  <c r="H25" i="13"/>
  <c r="D32" i="10"/>
  <c r="D31" i="9"/>
  <c r="N29" i="2" l="1"/>
  <c r="E18" i="1"/>
  <c r="G18" i="1" s="1"/>
  <c r="B27" i="21"/>
  <c r="H27" i="2"/>
  <c r="F26" i="17"/>
  <c r="M34" i="17"/>
  <c r="L25" i="17"/>
  <c r="K25" i="17" s="1"/>
  <c r="G26" i="2" s="1"/>
  <c r="H12" i="1" s="1"/>
  <c r="C16" i="16"/>
  <c r="H29" i="2" l="1"/>
  <c r="E13" i="1"/>
  <c r="G13" i="1" s="1"/>
  <c r="F15" i="1"/>
  <c r="J18" i="1"/>
  <c r="D26" i="1"/>
  <c r="D15" i="1"/>
  <c r="J29" i="1"/>
  <c r="I15" i="1"/>
  <c r="L42" i="9"/>
  <c r="E14" i="9" s="1"/>
  <c r="N87" i="9"/>
  <c r="N85" i="9" s="1"/>
  <c r="O43" i="9" s="1"/>
  <c r="O42" i="9" s="1"/>
  <c r="E18" i="9" s="1"/>
  <c r="B88" i="9"/>
  <c r="C88" i="9" s="1"/>
  <c r="C89" i="9"/>
  <c r="N89" i="9" s="1"/>
  <c r="C90" i="9"/>
  <c r="N90" i="9" s="1"/>
  <c r="N91" i="9"/>
  <c r="B86" i="9"/>
  <c r="C86" i="9" s="1"/>
  <c r="G87" i="9"/>
  <c r="G85" i="9" s="1"/>
  <c r="H43" i="9" s="1"/>
  <c r="H42" i="9" s="1"/>
  <c r="E7" i="9" s="1"/>
  <c r="G91" i="9"/>
  <c r="B67" i="9"/>
  <c r="C67" i="9" s="1"/>
  <c r="G42" i="9"/>
  <c r="E6" i="9" s="1"/>
  <c r="I42" i="9"/>
  <c r="J42" i="9"/>
  <c r="E9" i="9" s="1"/>
  <c r="K42" i="9"/>
  <c r="E13" i="9" s="1"/>
  <c r="M42" i="9"/>
  <c r="E16" i="9" s="1"/>
  <c r="N42" i="9"/>
  <c r="E17" i="9" s="1"/>
  <c r="P42" i="9"/>
  <c r="E19" i="9" s="1"/>
  <c r="Q42" i="9"/>
  <c r="E20" i="9" s="1"/>
  <c r="R42" i="9"/>
  <c r="E22" i="9" s="1"/>
  <c r="B79" i="9"/>
  <c r="C79" i="9"/>
  <c r="G79" i="9" s="1"/>
  <c r="C80" i="9"/>
  <c r="G80" i="9" s="1"/>
  <c r="C81" i="9"/>
  <c r="G81" i="9" s="1"/>
  <c r="D82" i="9"/>
  <c r="G82" i="9"/>
  <c r="C68" i="9"/>
  <c r="K68" i="9" s="1"/>
  <c r="G68" i="9"/>
  <c r="H68" i="9"/>
  <c r="J68" i="9"/>
  <c r="L68" i="9"/>
  <c r="M68" i="9"/>
  <c r="P68" i="9"/>
  <c r="Q68" i="9"/>
  <c r="D68" i="9"/>
  <c r="I27" i="13"/>
  <c r="G25" i="13"/>
  <c r="C25" i="13" s="1"/>
  <c r="B25" i="13" s="1"/>
  <c r="K26" i="2" s="1"/>
  <c r="H24" i="1" s="1"/>
  <c r="M11" i="16"/>
  <c r="M5" i="16"/>
  <c r="I17" i="10"/>
  <c r="D26" i="9"/>
  <c r="C21" i="9"/>
  <c r="C22" i="2" s="1"/>
  <c r="C23" i="9"/>
  <c r="C24" i="2" s="1"/>
  <c r="C24" i="9"/>
  <c r="C25" i="2"/>
  <c r="G22" i="15"/>
  <c r="G19" i="15"/>
  <c r="G16" i="15"/>
  <c r="G14" i="15"/>
  <c r="G9" i="15"/>
  <c r="G8" i="15"/>
  <c r="G18" i="15"/>
  <c r="D31" i="15"/>
  <c r="G25" i="17"/>
  <c r="C32" i="14"/>
  <c r="C33" i="14" s="1"/>
  <c r="G62" i="13"/>
  <c r="D5" i="12"/>
  <c r="B5" i="12" s="1"/>
  <c r="J6" i="2" s="1"/>
  <c r="D10" i="12"/>
  <c r="B10" i="12" s="1"/>
  <c r="J11" i="2" s="1"/>
  <c r="D11" i="12"/>
  <c r="D15" i="12"/>
  <c r="B15" i="12" s="1"/>
  <c r="J16" i="2" s="1"/>
  <c r="D21" i="12"/>
  <c r="B21" i="12" s="1"/>
  <c r="J22" i="2" s="1"/>
  <c r="D23" i="12"/>
  <c r="B23" i="12" s="1"/>
  <c r="J24" i="2" s="1"/>
  <c r="C30" i="12"/>
  <c r="E72" i="11"/>
  <c r="F72" i="11"/>
  <c r="G72" i="11"/>
  <c r="H72" i="11"/>
  <c r="I72" i="11"/>
  <c r="K72" i="11"/>
  <c r="L72" i="11"/>
  <c r="M72" i="11"/>
  <c r="N72" i="11"/>
  <c r="D72" i="11"/>
  <c r="C77" i="11"/>
  <c r="C56" i="11"/>
  <c r="N27" i="11" s="1"/>
  <c r="M22" i="11" s="1"/>
  <c r="B23" i="10"/>
  <c r="D24" i="2" s="1"/>
  <c r="B24" i="10"/>
  <c r="D25" i="2" s="1"/>
  <c r="C25" i="10"/>
  <c r="B25" i="10" s="1"/>
  <c r="D26" i="2" s="1"/>
  <c r="H10" i="1" s="1"/>
  <c r="I8" i="10"/>
  <c r="I14" i="10"/>
  <c r="I22" i="10"/>
  <c r="J5" i="10"/>
  <c r="H5" i="10" s="1"/>
  <c r="C5" i="10" s="1"/>
  <c r="B5" i="10" s="1"/>
  <c r="D6" i="2" s="1"/>
  <c r="H53" i="13"/>
  <c r="I26" i="13"/>
  <c r="B120" i="11"/>
  <c r="C120" i="11"/>
  <c r="H60" i="11"/>
  <c r="J9" i="10"/>
  <c r="H9" i="10" s="1"/>
  <c r="C9" i="10" s="1"/>
  <c r="B9" i="10" s="1"/>
  <c r="D10" i="2" s="1"/>
  <c r="J15" i="10"/>
  <c r="H15" i="10" s="1"/>
  <c r="C15" i="10" s="1"/>
  <c r="B15" i="10" s="1"/>
  <c r="D16" i="2" s="1"/>
  <c r="J16" i="10"/>
  <c r="H16" i="10"/>
  <c r="C16" i="10" s="1"/>
  <c r="B16" i="10" s="1"/>
  <c r="D17" i="2" s="1"/>
  <c r="J24" i="10"/>
  <c r="H24" i="10" s="1"/>
  <c r="J23" i="10"/>
  <c r="H23" i="10" s="1"/>
  <c r="J6" i="10"/>
  <c r="H6" i="10" s="1"/>
  <c r="C6" i="10" s="1"/>
  <c r="B6" i="10" s="1"/>
  <c r="D7" i="2" s="1"/>
  <c r="J20" i="10"/>
  <c r="H20" i="10" s="1"/>
  <c r="C20" i="10" s="1"/>
  <c r="B20" i="10" s="1"/>
  <c r="D21" i="2" s="1"/>
  <c r="J11" i="10"/>
  <c r="H11" i="10" s="1"/>
  <c r="C11" i="10" s="1"/>
  <c r="B11" i="10" s="1"/>
  <c r="D12" i="2" s="1"/>
  <c r="J19" i="10"/>
  <c r="H19" i="10" s="1"/>
  <c r="C19" i="10" s="1"/>
  <c r="B19" i="10" s="1"/>
  <c r="D20" i="2" s="1"/>
  <c r="J10" i="10"/>
  <c r="H10" i="10" s="1"/>
  <c r="C10" i="10" s="1"/>
  <c r="B10" i="10" s="1"/>
  <c r="D11" i="2" s="1"/>
  <c r="J18" i="10"/>
  <c r="H18" i="10" s="1"/>
  <c r="C18" i="10" s="1"/>
  <c r="B18" i="10" s="1"/>
  <c r="D19" i="2" s="1"/>
  <c r="J21" i="10"/>
  <c r="H21" i="10" s="1"/>
  <c r="C21" i="10" s="1"/>
  <c r="B21" i="10" s="1"/>
  <c r="D22" i="2" s="1"/>
  <c r="D17" i="10"/>
  <c r="D7" i="10"/>
  <c r="I7" i="10"/>
  <c r="P15" i="16"/>
  <c r="P14" i="16"/>
  <c r="P12" i="16"/>
  <c r="P6" i="16"/>
  <c r="M20" i="16"/>
  <c r="M15" i="16"/>
  <c r="M14" i="16"/>
  <c r="M12" i="16"/>
  <c r="M6" i="16"/>
  <c r="J20" i="16"/>
  <c r="J15" i="16"/>
  <c r="J14" i="16"/>
  <c r="J12" i="16"/>
  <c r="J11" i="16"/>
  <c r="J6" i="16"/>
  <c r="G20" i="16"/>
  <c r="G15" i="16"/>
  <c r="G14" i="16"/>
  <c r="G12" i="16"/>
  <c r="G11" i="16"/>
  <c r="G6" i="16"/>
  <c r="D20" i="16"/>
  <c r="D15" i="16"/>
  <c r="D17" i="16"/>
  <c r="D14" i="16"/>
  <c r="D12" i="16"/>
  <c r="D11" i="16"/>
  <c r="D6" i="16"/>
  <c r="D7" i="16"/>
  <c r="D5" i="16"/>
  <c r="B23" i="18"/>
  <c r="E2" i="16"/>
  <c r="C2" i="16" s="1"/>
  <c r="E3" i="16"/>
  <c r="C3" i="16" s="1"/>
  <c r="E4" i="16"/>
  <c r="C4" i="16" s="1"/>
  <c r="E8" i="16"/>
  <c r="C8" i="16" s="1"/>
  <c r="E9" i="16"/>
  <c r="C9" i="16" s="1"/>
  <c r="E10" i="16"/>
  <c r="C10" i="16" s="1"/>
  <c r="E13" i="16"/>
  <c r="C13" i="16" s="1"/>
  <c r="E18" i="16"/>
  <c r="C18" i="16" s="1"/>
  <c r="E19" i="16"/>
  <c r="C19" i="16" s="1"/>
  <c r="E21" i="16"/>
  <c r="C21" i="16" s="1"/>
  <c r="E22" i="16"/>
  <c r="C22" i="16" s="1"/>
  <c r="H2" i="16"/>
  <c r="F2" i="16" s="1"/>
  <c r="H3" i="16"/>
  <c r="F3" i="16" s="1"/>
  <c r="H4" i="16"/>
  <c r="F4" i="16"/>
  <c r="H5" i="16"/>
  <c r="F5" i="16" s="1"/>
  <c r="H7" i="16"/>
  <c r="F7" i="16" s="1"/>
  <c r="H8" i="16"/>
  <c r="F8" i="16"/>
  <c r="H9" i="16"/>
  <c r="F9" i="16"/>
  <c r="H10" i="16"/>
  <c r="F10" i="16"/>
  <c r="H13" i="16"/>
  <c r="F13" i="16" s="1"/>
  <c r="H16" i="16"/>
  <c r="F16" i="16" s="1"/>
  <c r="H17" i="16"/>
  <c r="F17" i="16" s="1"/>
  <c r="H18" i="16"/>
  <c r="F18" i="16"/>
  <c r="H19" i="16"/>
  <c r="F19" i="16" s="1"/>
  <c r="H21" i="16"/>
  <c r="F21" i="16" s="1"/>
  <c r="H22" i="16"/>
  <c r="F22" i="16" s="1"/>
  <c r="D22" i="10"/>
  <c r="D4" i="10"/>
  <c r="D8" i="10"/>
  <c r="D13" i="10"/>
  <c r="D14" i="10"/>
  <c r="H54" i="13"/>
  <c r="H52" i="13" s="1"/>
  <c r="H47" i="13"/>
  <c r="E62" i="13"/>
  <c r="E63" i="13"/>
  <c r="M55" i="13" s="1"/>
  <c r="I47" i="13"/>
  <c r="I5" i="13"/>
  <c r="G5" i="13" s="1"/>
  <c r="C5" i="13" s="1"/>
  <c r="B5" i="13" s="1"/>
  <c r="K6" i="2" s="1"/>
  <c r="D6" i="13"/>
  <c r="D7" i="13"/>
  <c r="D8" i="13"/>
  <c r="D9" i="13"/>
  <c r="I10" i="13"/>
  <c r="G10" i="13" s="1"/>
  <c r="C10" i="13" s="1"/>
  <c r="B10" i="13" s="1"/>
  <c r="K11" i="2" s="1"/>
  <c r="I11" i="13"/>
  <c r="G11" i="13" s="1"/>
  <c r="C11" i="13" s="1"/>
  <c r="B11" i="13" s="1"/>
  <c r="K12" i="2" s="1"/>
  <c r="I12" i="13"/>
  <c r="G12" i="13" s="1"/>
  <c r="C12" i="13" s="1"/>
  <c r="D12" i="13"/>
  <c r="D13" i="13"/>
  <c r="J47" i="13"/>
  <c r="J45" i="13" s="1"/>
  <c r="D14" i="13" s="1"/>
  <c r="I15" i="13"/>
  <c r="G15" i="13" s="1"/>
  <c r="C15" i="13" s="1"/>
  <c r="D15" i="13"/>
  <c r="L47" i="13"/>
  <c r="D17" i="13"/>
  <c r="N56" i="13" s="1"/>
  <c r="D18" i="13"/>
  <c r="D19" i="13"/>
  <c r="D20" i="13"/>
  <c r="I21" i="13"/>
  <c r="G21" i="13" s="1"/>
  <c r="C21" i="13" s="1"/>
  <c r="D21" i="13"/>
  <c r="I23" i="13"/>
  <c r="G23" i="13" s="1"/>
  <c r="C23" i="13" s="1"/>
  <c r="B23" i="13" s="1"/>
  <c r="K24" i="2" s="1"/>
  <c r="G24" i="13"/>
  <c r="C24" i="13" s="1"/>
  <c r="B24" i="13" s="1"/>
  <c r="K25" i="2" s="1"/>
  <c r="K47" i="13"/>
  <c r="M47" i="13"/>
  <c r="N47" i="13"/>
  <c r="D63" i="13"/>
  <c r="J58" i="13" s="1"/>
  <c r="C63" i="13"/>
  <c r="J57" i="13"/>
  <c r="C75" i="13"/>
  <c r="L75" i="13"/>
  <c r="C76" i="13"/>
  <c r="L76" i="13" s="1"/>
  <c r="L77" i="13"/>
  <c r="E91" i="11"/>
  <c r="L80" i="11"/>
  <c r="L78" i="11" s="1"/>
  <c r="L77" i="11" s="1"/>
  <c r="D5" i="15"/>
  <c r="B5" i="15" s="1"/>
  <c r="L6" i="2" s="1"/>
  <c r="D10" i="15"/>
  <c r="B10" i="15" s="1"/>
  <c r="L11" i="2" s="1"/>
  <c r="D11" i="15"/>
  <c r="B11" i="15" s="1"/>
  <c r="L12" i="2" s="1"/>
  <c r="D15" i="15"/>
  <c r="B15" i="15" s="1"/>
  <c r="L16" i="2" s="1"/>
  <c r="D20" i="15"/>
  <c r="B20" i="15" s="1"/>
  <c r="L21" i="2" s="1"/>
  <c r="D21" i="15"/>
  <c r="B21" i="15"/>
  <c r="L22" i="2" s="1"/>
  <c r="D23" i="15"/>
  <c r="B23" i="15" s="1"/>
  <c r="L24" i="2" s="1"/>
  <c r="B24" i="15"/>
  <c r="L25" i="2" s="1"/>
  <c r="G25" i="15"/>
  <c r="F25" i="15" s="1"/>
  <c r="M26" i="2" s="1"/>
  <c r="H22" i="1" s="1"/>
  <c r="N5" i="11"/>
  <c r="L5" i="11" s="1"/>
  <c r="C5" i="11" s="1"/>
  <c r="B5" i="11" s="1"/>
  <c r="H5" i="15"/>
  <c r="F5" i="15" s="1"/>
  <c r="M6" i="2" s="1"/>
  <c r="G4" i="15"/>
  <c r="N10" i="11"/>
  <c r="L10" i="11" s="1"/>
  <c r="C10" i="11" s="1"/>
  <c r="B10" i="11" s="1"/>
  <c r="H10" i="15"/>
  <c r="F10" i="15" s="1"/>
  <c r="M11" i="2" s="1"/>
  <c r="N11" i="11"/>
  <c r="L11" i="11" s="1"/>
  <c r="C11" i="11" s="1"/>
  <c r="B11" i="11" s="1"/>
  <c r="H11" i="15"/>
  <c r="F11" i="15" s="1"/>
  <c r="M12" i="2" s="1"/>
  <c r="N15" i="11"/>
  <c r="L15" i="11" s="1"/>
  <c r="C15" i="11" s="1"/>
  <c r="S15" i="11"/>
  <c r="Q15" i="11" s="1"/>
  <c r="H15" i="11" s="1"/>
  <c r="G15" i="11" s="1"/>
  <c r="H15" i="15"/>
  <c r="F15" i="15"/>
  <c r="M16" i="2" s="1"/>
  <c r="K70" i="11"/>
  <c r="D19" i="11"/>
  <c r="H20" i="15"/>
  <c r="F20" i="15" s="1"/>
  <c r="M21" i="2" s="1"/>
  <c r="N21" i="11"/>
  <c r="L21" i="11" s="1"/>
  <c r="C21" i="11" s="1"/>
  <c r="S21" i="11"/>
  <c r="Q21" i="11" s="1"/>
  <c r="H21" i="11" s="1"/>
  <c r="G21" i="11" s="1"/>
  <c r="H21" i="15"/>
  <c r="F21" i="15" s="1"/>
  <c r="M22" i="2" s="1"/>
  <c r="N23" i="11"/>
  <c r="L23" i="11" s="1"/>
  <c r="C23" i="11" s="1"/>
  <c r="B23" i="11" s="1"/>
  <c r="S23" i="11"/>
  <c r="Q23" i="11" s="1"/>
  <c r="H23" i="11" s="1"/>
  <c r="G23" i="11" s="1"/>
  <c r="H23" i="15"/>
  <c r="F23" i="15"/>
  <c r="M24" i="2" s="1"/>
  <c r="L24" i="11"/>
  <c r="C24" i="11" s="1"/>
  <c r="B24" i="11" s="1"/>
  <c r="Q24" i="11"/>
  <c r="H24" i="11" s="1"/>
  <c r="G24" i="11" s="1"/>
  <c r="F24" i="15"/>
  <c r="M25" i="2"/>
  <c r="J48" i="9"/>
  <c r="J51" i="9"/>
  <c r="G48" i="9"/>
  <c r="F51" i="9"/>
  <c r="G51" i="9"/>
  <c r="S11" i="11"/>
  <c r="Q11" i="11" s="1"/>
  <c r="H11" i="11" s="1"/>
  <c r="G11" i="11" s="1"/>
  <c r="S10" i="11"/>
  <c r="Q10" i="11" s="1"/>
  <c r="H10" i="11" s="1"/>
  <c r="G10" i="11" s="1"/>
  <c r="S5" i="11"/>
  <c r="Q5" i="11" s="1"/>
  <c r="H5" i="11" s="1"/>
  <c r="G5" i="11" s="1"/>
  <c r="H59" i="11"/>
  <c r="C33" i="12"/>
  <c r="C24" i="17"/>
  <c r="B24" i="17" s="1"/>
  <c r="B24" i="16"/>
  <c r="K2" i="16"/>
  <c r="I2" i="16" s="1"/>
  <c r="N2" i="16"/>
  <c r="L2" i="16" s="1"/>
  <c r="Q2" i="16"/>
  <c r="O2" i="16" s="1"/>
  <c r="K3" i="16"/>
  <c r="I3" i="16"/>
  <c r="N3" i="16"/>
  <c r="L3" i="16" s="1"/>
  <c r="Q3" i="16"/>
  <c r="O3" i="16" s="1"/>
  <c r="K4" i="16"/>
  <c r="I4" i="16" s="1"/>
  <c r="N4" i="16"/>
  <c r="L4" i="16" s="1"/>
  <c r="Q4" i="16"/>
  <c r="O4" i="16" s="1"/>
  <c r="K5" i="16"/>
  <c r="I5" i="16" s="1"/>
  <c r="K7" i="16"/>
  <c r="I7" i="16"/>
  <c r="N7" i="16"/>
  <c r="L7" i="16" s="1"/>
  <c r="Q7" i="16"/>
  <c r="O7" i="16" s="1"/>
  <c r="K8" i="16"/>
  <c r="I8" i="16" s="1"/>
  <c r="N8" i="16"/>
  <c r="L8" i="16" s="1"/>
  <c r="K9" i="16"/>
  <c r="I9" i="16" s="1"/>
  <c r="N9" i="16"/>
  <c r="L9" i="16" s="1"/>
  <c r="Q9" i="16"/>
  <c r="O9" i="16" s="1"/>
  <c r="K10" i="16"/>
  <c r="I10" i="16" s="1"/>
  <c r="N10" i="16"/>
  <c r="L10" i="16" s="1"/>
  <c r="Q10" i="16"/>
  <c r="O10" i="16" s="1"/>
  <c r="Q11" i="16"/>
  <c r="O11" i="16" s="1"/>
  <c r="K13" i="16"/>
  <c r="I13" i="16" s="1"/>
  <c r="N13" i="16"/>
  <c r="L13" i="16" s="1"/>
  <c r="Q13" i="16"/>
  <c r="O13" i="16" s="1"/>
  <c r="K16" i="16"/>
  <c r="I16" i="16" s="1"/>
  <c r="N16" i="16"/>
  <c r="L16" i="16" s="1"/>
  <c r="Q16" i="16"/>
  <c r="O16" i="16" s="1"/>
  <c r="K17" i="16"/>
  <c r="I17" i="16" s="1"/>
  <c r="N17" i="16"/>
  <c r="L17" i="16" s="1"/>
  <c r="Q17" i="16"/>
  <c r="O17" i="16" s="1"/>
  <c r="K18" i="16"/>
  <c r="I18" i="16" s="1"/>
  <c r="N18" i="16"/>
  <c r="L18" i="16" s="1"/>
  <c r="Q18" i="16"/>
  <c r="O18" i="16" s="1"/>
  <c r="K19" i="16"/>
  <c r="I19" i="16" s="1"/>
  <c r="N19" i="16"/>
  <c r="L19" i="16" s="1"/>
  <c r="Q19" i="16"/>
  <c r="O19" i="16" s="1"/>
  <c r="K21" i="16"/>
  <c r="I21" i="16"/>
  <c r="N21" i="16"/>
  <c r="L21" i="16"/>
  <c r="Q21" i="16"/>
  <c r="O21" i="16" s="1"/>
  <c r="K22" i="16"/>
  <c r="I22" i="16" s="1"/>
  <c r="N22" i="16"/>
  <c r="L22" i="16" s="1"/>
  <c r="Q22" i="16"/>
  <c r="O22" i="16" s="1"/>
  <c r="C23" i="16"/>
  <c r="F23" i="16"/>
  <c r="I23" i="16"/>
  <c r="L23" i="16"/>
  <c r="O23" i="16"/>
  <c r="C33" i="13"/>
  <c r="B11" i="12"/>
  <c r="J12" i="2" s="1"/>
  <c r="B24" i="12"/>
  <c r="J25" i="2"/>
  <c r="N70" i="11"/>
  <c r="D9" i="11"/>
  <c r="D12" i="11"/>
  <c r="D15" i="11"/>
  <c r="D20" i="11"/>
  <c r="D21" i="11"/>
  <c r="I26" i="14"/>
  <c r="H20" i="14" s="1"/>
  <c r="I5" i="14"/>
  <c r="G5" i="14" s="1"/>
  <c r="C5" i="14" s="1"/>
  <c r="D5" i="14" s="1"/>
  <c r="I10" i="14"/>
  <c r="G10" i="14" s="1"/>
  <c r="C10" i="14" s="1"/>
  <c r="I11" i="14"/>
  <c r="G11" i="14" s="1"/>
  <c r="C11" i="14" s="1"/>
  <c r="I15" i="14"/>
  <c r="G15" i="14" s="1"/>
  <c r="C15" i="14" s="1"/>
  <c r="I21" i="14"/>
  <c r="G21" i="14" s="1"/>
  <c r="C21" i="14" s="1"/>
  <c r="I23" i="14"/>
  <c r="G23" i="14" s="1"/>
  <c r="C23" i="14" s="1"/>
  <c r="D23" i="14" s="1"/>
  <c r="B23" i="14" s="1"/>
  <c r="E24" i="2" s="1"/>
  <c r="G24" i="14"/>
  <c r="C24" i="14"/>
  <c r="D24" i="14" s="1"/>
  <c r="B24" i="14" s="1"/>
  <c r="E25" i="2" s="1"/>
  <c r="G54" i="13"/>
  <c r="G52" i="13" s="1"/>
  <c r="E89" i="11"/>
  <c r="E90" i="11" s="1"/>
  <c r="C82" i="11" s="1"/>
  <c r="D35" i="10"/>
  <c r="D33" i="10" s="1"/>
  <c r="B25" i="17"/>
  <c r="C12" i="17"/>
  <c r="D12" i="17" s="1"/>
  <c r="P25" i="16"/>
  <c r="M25" i="16"/>
  <c r="J25" i="16"/>
  <c r="G25" i="16"/>
  <c r="D25" i="16"/>
  <c r="C35" i="14"/>
  <c r="H77" i="13"/>
  <c r="B74" i="13"/>
  <c r="C74" i="13" s="1"/>
  <c r="H58" i="13"/>
  <c r="G55" i="13"/>
  <c r="G47" i="13"/>
  <c r="F47" i="13"/>
  <c r="E47" i="13"/>
  <c r="C35" i="13"/>
  <c r="I28" i="13"/>
  <c r="I138" i="11"/>
  <c r="H138" i="11"/>
  <c r="G138" i="11"/>
  <c r="F138" i="11"/>
  <c r="E138" i="11"/>
  <c r="D138" i="11"/>
  <c r="I137" i="11"/>
  <c r="H137" i="11"/>
  <c r="G137" i="11"/>
  <c r="F137" i="11"/>
  <c r="E137" i="11"/>
  <c r="D137" i="11"/>
  <c r="I136" i="11"/>
  <c r="H136" i="11"/>
  <c r="G136" i="11"/>
  <c r="F136" i="11"/>
  <c r="E136" i="11"/>
  <c r="D136" i="11"/>
  <c r="I135" i="11"/>
  <c r="H135" i="11"/>
  <c r="G135" i="11"/>
  <c r="F135" i="11"/>
  <c r="E135" i="11"/>
  <c r="D135" i="11"/>
  <c r="C131" i="11"/>
  <c r="C130" i="11"/>
  <c r="B129" i="11"/>
  <c r="C129" i="11" s="1"/>
  <c r="M125" i="11"/>
  <c r="L125" i="11"/>
  <c r="K125" i="11"/>
  <c r="H125" i="11"/>
  <c r="G125" i="11"/>
  <c r="E125" i="11"/>
  <c r="D125" i="11"/>
  <c r="C124" i="11"/>
  <c r="D124" i="11" s="1"/>
  <c r="C123" i="11"/>
  <c r="L123" i="11" s="1"/>
  <c r="B122" i="11"/>
  <c r="C122" i="11"/>
  <c r="H122" i="11" s="1"/>
  <c r="E93" i="11"/>
  <c r="D93" i="11"/>
  <c r="C93" i="11"/>
  <c r="H115" i="11" s="1"/>
  <c r="E92" i="11"/>
  <c r="D92" i="11"/>
  <c r="C92" i="11"/>
  <c r="D91" i="11"/>
  <c r="C91" i="11"/>
  <c r="D90" i="11"/>
  <c r="C83" i="11"/>
  <c r="C90" i="11"/>
  <c r="C84" i="11" s="1"/>
  <c r="O86" i="11"/>
  <c r="C85" i="11"/>
  <c r="E85" i="11" s="1"/>
  <c r="G85" i="11"/>
  <c r="C59" i="11"/>
  <c r="Q72" i="9"/>
  <c r="O72" i="9"/>
  <c r="N72" i="9"/>
  <c r="M72" i="9"/>
  <c r="D72" i="9"/>
  <c r="L72" i="9"/>
  <c r="K72" i="9"/>
  <c r="J72" i="9"/>
  <c r="H72" i="9"/>
  <c r="G72" i="9"/>
  <c r="C71" i="9"/>
  <c r="K71" i="9"/>
  <c r="C70" i="9"/>
  <c r="G70" i="9"/>
  <c r="Q69" i="9"/>
  <c r="O69" i="9"/>
  <c r="N69" i="9"/>
  <c r="M69" i="9"/>
  <c r="D69" i="9"/>
  <c r="L69" i="9"/>
  <c r="K69" i="9"/>
  <c r="J69" i="9"/>
  <c r="H69" i="9"/>
  <c r="B69" i="9"/>
  <c r="C69" i="9" s="1"/>
  <c r="G69" i="9" s="1"/>
  <c r="L63" i="9"/>
  <c r="E51" i="9"/>
  <c r="D50" i="9" s="1"/>
  <c r="C50" i="9"/>
  <c r="J50" i="9" s="1"/>
  <c r="C49" i="9"/>
  <c r="E49" i="9" s="1"/>
  <c r="B48" i="9"/>
  <c r="C48" i="9" s="1"/>
  <c r="D34" i="9"/>
  <c r="D32" i="9" s="1"/>
  <c r="H39" i="7"/>
  <c r="H40" i="7"/>
  <c r="G40" i="7"/>
  <c r="F40" i="7"/>
  <c r="D39" i="7"/>
  <c r="D40" i="7" s="1"/>
  <c r="C39" i="7"/>
  <c r="C40" i="7"/>
  <c r="B39" i="7"/>
  <c r="B40" i="7"/>
  <c r="H35" i="7"/>
  <c r="C30" i="7"/>
  <c r="C35" i="7" s="1"/>
  <c r="H34" i="7"/>
  <c r="C34" i="7"/>
  <c r="D34" i="7"/>
  <c r="H33" i="7"/>
  <c r="C33" i="7"/>
  <c r="D33" i="7" s="1"/>
  <c r="B33" i="7"/>
  <c r="H32" i="7"/>
  <c r="C32" i="7"/>
  <c r="D32" i="7" s="1"/>
  <c r="B32" i="7"/>
  <c r="H31" i="7"/>
  <c r="C31" i="7"/>
  <c r="D31" i="7" s="1"/>
  <c r="H30" i="7"/>
  <c r="B30" i="7"/>
  <c r="H26" i="7"/>
  <c r="G26" i="7"/>
  <c r="F26" i="7"/>
  <c r="D26" i="7"/>
  <c r="C23" i="7"/>
  <c r="C26" i="7" s="1"/>
  <c r="B23" i="7"/>
  <c r="B26" i="7" s="1"/>
  <c r="C25" i="7"/>
  <c r="B25" i="7"/>
  <c r="C24" i="7"/>
  <c r="B24" i="7"/>
  <c r="H19" i="7"/>
  <c r="G19" i="7"/>
  <c r="F5" i="7" s="1"/>
  <c r="G5" i="7" s="1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 s="1"/>
  <c r="C9" i="7"/>
  <c r="C19" i="7" s="1"/>
  <c r="B9" i="7"/>
  <c r="B19" i="7" s="1"/>
  <c r="D28" i="6"/>
  <c r="C28" i="6"/>
  <c r="K27" i="6"/>
  <c r="I27" i="6"/>
  <c r="D26" i="6"/>
  <c r="D23" i="6" s="1"/>
  <c r="K25" i="6"/>
  <c r="I25" i="6"/>
  <c r="C24" i="6"/>
  <c r="J22" i="6"/>
  <c r="I23" i="6"/>
  <c r="J21" i="6"/>
  <c r="J23" i="6" s="1"/>
  <c r="J2" i="6" s="1"/>
  <c r="I20" i="6"/>
  <c r="D2" i="6"/>
  <c r="D13" i="6" s="1"/>
  <c r="E13" i="6" s="1"/>
  <c r="C5" i="6"/>
  <c r="C21" i="6"/>
  <c r="D3" i="6"/>
  <c r="E3" i="6" s="1"/>
  <c r="E21" i="6" s="1"/>
  <c r="D21" i="6"/>
  <c r="B68" i="5"/>
  <c r="B57" i="5"/>
  <c r="B69" i="5" s="1"/>
  <c r="H20" i="5"/>
  <c r="H21" i="5"/>
  <c r="H7" i="5"/>
  <c r="K18" i="5"/>
  <c r="K19" i="5" s="1"/>
  <c r="B16" i="5"/>
  <c r="B8" i="5"/>
  <c r="B17" i="5" s="1"/>
  <c r="E14" i="5"/>
  <c r="E16" i="5"/>
  <c r="E17" i="5" s="1"/>
  <c r="E7" i="5"/>
  <c r="K7" i="5"/>
  <c r="J5" i="4"/>
  <c r="J12" i="4" s="1"/>
  <c r="J6" i="4"/>
  <c r="J7" i="4"/>
  <c r="K7" i="4" s="1"/>
  <c r="J8" i="4"/>
  <c r="J9" i="4"/>
  <c r="K9" i="4" s="1"/>
  <c r="J10" i="4"/>
  <c r="J11" i="4"/>
  <c r="K11" i="4"/>
  <c r="D12" i="4"/>
  <c r="L11" i="4"/>
  <c r="M11" i="4" s="1"/>
  <c r="H11" i="4"/>
  <c r="I11" i="4" s="1"/>
  <c r="F11" i="4"/>
  <c r="E11" i="4"/>
  <c r="L10" i="4"/>
  <c r="M10" i="4" s="1"/>
  <c r="K10" i="4"/>
  <c r="H10" i="4"/>
  <c r="I10" i="4"/>
  <c r="F10" i="4"/>
  <c r="G10" i="4"/>
  <c r="E10" i="4"/>
  <c r="L9" i="4"/>
  <c r="M9" i="4" s="1"/>
  <c r="L5" i="4"/>
  <c r="M5" i="4" s="1"/>
  <c r="L6" i="4"/>
  <c r="M6" i="4" s="1"/>
  <c r="L7" i="4"/>
  <c r="M7" i="4" s="1"/>
  <c r="L8" i="4"/>
  <c r="M8" i="4"/>
  <c r="H9" i="4"/>
  <c r="I9" i="4" s="1"/>
  <c r="F9" i="4"/>
  <c r="E9" i="4"/>
  <c r="K8" i="4"/>
  <c r="H8" i="4"/>
  <c r="F8" i="4"/>
  <c r="G8" i="4" s="1"/>
  <c r="E8" i="4"/>
  <c r="H7" i="4"/>
  <c r="B7" i="4" s="1"/>
  <c r="C7" i="4" s="1"/>
  <c r="I7" i="4"/>
  <c r="F7" i="4"/>
  <c r="G7" i="4"/>
  <c r="E7" i="4"/>
  <c r="E5" i="4"/>
  <c r="E6" i="4"/>
  <c r="E12" i="4"/>
  <c r="K6" i="4"/>
  <c r="H6" i="4"/>
  <c r="I6" i="4"/>
  <c r="F6" i="4"/>
  <c r="G6" i="4"/>
  <c r="K5" i="4"/>
  <c r="H5" i="4"/>
  <c r="I5" i="4" s="1"/>
  <c r="I12" i="4" s="1"/>
  <c r="F5" i="4"/>
  <c r="F12" i="4" s="1"/>
  <c r="M4" i="4"/>
  <c r="K4" i="4"/>
  <c r="I4" i="4"/>
  <c r="G4" i="4"/>
  <c r="F2" i="4"/>
  <c r="B31" i="7"/>
  <c r="E55" i="13"/>
  <c r="H75" i="13"/>
  <c r="F55" i="13"/>
  <c r="D55" i="13"/>
  <c r="E28" i="6"/>
  <c r="B6" i="4"/>
  <c r="C6" i="4" s="1"/>
  <c r="C31" i="12"/>
  <c r="M124" i="11"/>
  <c r="G124" i="11"/>
  <c r="E124" i="11"/>
  <c r="G9" i="4"/>
  <c r="H57" i="13"/>
  <c r="O57" i="13" s="1"/>
  <c r="I8" i="4"/>
  <c r="D4" i="6"/>
  <c r="E4" i="6"/>
  <c r="H76" i="13"/>
  <c r="D8" i="6"/>
  <c r="E8" i="6" s="1"/>
  <c r="D10" i="6"/>
  <c r="E10" i="6" s="1"/>
  <c r="D12" i="6"/>
  <c r="E12" i="6" s="1"/>
  <c r="D14" i="6"/>
  <c r="E14" i="6" s="1"/>
  <c r="D16" i="6"/>
  <c r="E16" i="6" s="1"/>
  <c r="H71" i="9"/>
  <c r="C9" i="17"/>
  <c r="F24" i="17"/>
  <c r="F25" i="2" s="1"/>
  <c r="M71" i="9"/>
  <c r="D51" i="9"/>
  <c r="N70" i="9"/>
  <c r="Q70" i="9"/>
  <c r="J70" i="9"/>
  <c r="L70" i="9"/>
  <c r="D71" i="9"/>
  <c r="O71" i="9"/>
  <c r="G71" i="9"/>
  <c r="E50" i="9"/>
  <c r="J71" i="9"/>
  <c r="L71" i="9"/>
  <c r="C22" i="17"/>
  <c r="D22" i="17" s="1"/>
  <c r="C10" i="17"/>
  <c r="D10" i="17" s="1"/>
  <c r="C18" i="17"/>
  <c r="D18" i="17" s="1"/>
  <c r="C15" i="17"/>
  <c r="D15" i="17" s="1"/>
  <c r="B15" i="17" s="1"/>
  <c r="H56" i="13"/>
  <c r="G11" i="4"/>
  <c r="K22" i="6"/>
  <c r="K23" i="6"/>
  <c r="N71" i="9"/>
  <c r="Q71" i="9"/>
  <c r="F85" i="11"/>
  <c r="H85" i="11"/>
  <c r="D9" i="6"/>
  <c r="E9" i="6" s="1"/>
  <c r="D17" i="6"/>
  <c r="E17" i="6" s="1"/>
  <c r="D5" i="6"/>
  <c r="E5" i="6" s="1"/>
  <c r="E2" i="6"/>
  <c r="D11" i="6"/>
  <c r="E11" i="6"/>
  <c r="E122" i="11"/>
  <c r="K122" i="11"/>
  <c r="M70" i="11"/>
  <c r="D18" i="11" s="1"/>
  <c r="O72" i="11"/>
  <c r="C66" i="11" s="1"/>
  <c r="H83" i="11"/>
  <c r="G83" i="11"/>
  <c r="D6" i="11"/>
  <c r="I70" i="11"/>
  <c r="D4" i="11" s="1"/>
  <c r="C25" i="15"/>
  <c r="G25" i="14"/>
  <c r="C25" i="14" s="1"/>
  <c r="B25" i="14" s="1"/>
  <c r="E26" i="2" s="1"/>
  <c r="H14" i="1" s="1"/>
  <c r="M54" i="13"/>
  <c r="M52" i="13" s="1"/>
  <c r="K55" i="13"/>
  <c r="L54" i="13"/>
  <c r="L52" i="13" s="1"/>
  <c r="E53" i="13"/>
  <c r="E45" i="13" s="1"/>
  <c r="F53" i="13"/>
  <c r="F45" i="13"/>
  <c r="N53" i="13"/>
  <c r="N45" i="13"/>
  <c r="I53" i="13"/>
  <c r="I45" i="13"/>
  <c r="D4" i="13" s="1"/>
  <c r="G53" i="13"/>
  <c r="G45" i="13"/>
  <c r="L53" i="13"/>
  <c r="L45" i="13"/>
  <c r="D16" i="13" s="1"/>
  <c r="K53" i="13"/>
  <c r="K45" i="13"/>
  <c r="M53" i="13"/>
  <c r="M45" i="13"/>
  <c r="D53" i="13"/>
  <c r="L55" i="13"/>
  <c r="E123" i="11"/>
  <c r="G80" i="11"/>
  <c r="D80" i="11"/>
  <c r="M123" i="11"/>
  <c r="E80" i="11"/>
  <c r="H123" i="11"/>
  <c r="D83" i="11"/>
  <c r="K123" i="11"/>
  <c r="L124" i="11"/>
  <c r="H80" i="11"/>
  <c r="F80" i="11"/>
  <c r="E83" i="11"/>
  <c r="D123" i="11"/>
  <c r="K124" i="11"/>
  <c r="D12" i="10"/>
  <c r="J49" i="9"/>
  <c r="D70" i="9"/>
  <c r="H70" i="9"/>
  <c r="G50" i="9"/>
  <c r="O70" i="9"/>
  <c r="F50" i="9"/>
  <c r="M70" i="9"/>
  <c r="K70" i="9"/>
  <c r="M28" i="16"/>
  <c r="N26" i="16"/>
  <c r="J28" i="16"/>
  <c r="D28" i="16"/>
  <c r="E7" i="16" s="1"/>
  <c r="C7" i="16" s="1"/>
  <c r="M56" i="13"/>
  <c r="E26" i="16"/>
  <c r="E15" i="16" s="1"/>
  <c r="C15" i="16" s="1"/>
  <c r="Q26" i="16"/>
  <c r="Q8" i="16" s="1"/>
  <c r="O8" i="16" s="1"/>
  <c r="P28" i="16"/>
  <c r="K26" i="16"/>
  <c r="K11" i="16" s="1"/>
  <c r="I11" i="16" s="1"/>
  <c r="H26" i="16"/>
  <c r="G28" i="16"/>
  <c r="B25" i="15"/>
  <c r="L26" i="2" s="1"/>
  <c r="H23" i="1" s="1"/>
  <c r="D9" i="17"/>
  <c r="K12" i="16" l="1"/>
  <c r="I12" i="16" s="1"/>
  <c r="Q5" i="16"/>
  <c r="O5" i="16" s="1"/>
  <c r="O47" i="13"/>
  <c r="C40" i="13" s="1"/>
  <c r="O58" i="13"/>
  <c r="B12" i="13"/>
  <c r="K13" i="2" s="1"/>
  <c r="F83" i="11"/>
  <c r="O80" i="11"/>
  <c r="O83" i="11"/>
  <c r="D49" i="9"/>
  <c r="E8" i="9"/>
  <c r="D24" i="6"/>
  <c r="E23" i="6"/>
  <c r="E24" i="6" s="1"/>
  <c r="D82" i="11"/>
  <c r="H82" i="11"/>
  <c r="F82" i="11"/>
  <c r="G82" i="11"/>
  <c r="E82" i="11"/>
  <c r="M12" i="4"/>
  <c r="J4" i="6"/>
  <c r="K4" i="6" s="1"/>
  <c r="J10" i="6"/>
  <c r="K10" i="6" s="1"/>
  <c r="J5" i="6"/>
  <c r="K5" i="6" s="1"/>
  <c r="J3" i="6"/>
  <c r="J17" i="6"/>
  <c r="K17" i="6" s="1"/>
  <c r="J19" i="6"/>
  <c r="J16" i="6"/>
  <c r="K16" i="6" s="1"/>
  <c r="J14" i="6"/>
  <c r="K14" i="6" s="1"/>
  <c r="J7" i="6"/>
  <c r="K7" i="6" s="1"/>
  <c r="J12" i="6"/>
  <c r="K12" i="6" s="1"/>
  <c r="J9" i="6"/>
  <c r="K9" i="6" s="1"/>
  <c r="J8" i="6"/>
  <c r="K8" i="6" s="1"/>
  <c r="J6" i="6"/>
  <c r="K6" i="6" s="1"/>
  <c r="J18" i="6"/>
  <c r="K18" i="6" s="1"/>
  <c r="J13" i="6"/>
  <c r="K13" i="6" s="1"/>
  <c r="J15" i="6"/>
  <c r="K15" i="6" s="1"/>
  <c r="K2" i="6"/>
  <c r="J11" i="6"/>
  <c r="K11" i="6" s="1"/>
  <c r="E67" i="9"/>
  <c r="M67" i="9"/>
  <c r="F67" i="9"/>
  <c r="N67" i="9"/>
  <c r="G67" i="9"/>
  <c r="O67" i="9"/>
  <c r="H67" i="9"/>
  <c r="P67" i="9"/>
  <c r="I67" i="9"/>
  <c r="Q67" i="9"/>
  <c r="J67" i="9"/>
  <c r="K67" i="9"/>
  <c r="D67" i="9"/>
  <c r="L67" i="9"/>
  <c r="K12" i="4"/>
  <c r="F48" i="9"/>
  <c r="E48" i="9"/>
  <c r="D84" i="11"/>
  <c r="F84" i="11"/>
  <c r="H84" i="11"/>
  <c r="G84" i="11"/>
  <c r="E84" i="11"/>
  <c r="G86" i="9"/>
  <c r="N86" i="9"/>
  <c r="B5" i="7"/>
  <c r="C5" i="7" s="1"/>
  <c r="D28" i="10"/>
  <c r="D27" i="10"/>
  <c r="C12" i="4"/>
  <c r="G88" i="9"/>
  <c r="N88" i="9"/>
  <c r="E20" i="16"/>
  <c r="C20" i="16" s="1"/>
  <c r="E6" i="16"/>
  <c r="C6" i="16" s="1"/>
  <c r="E14" i="16"/>
  <c r="C14" i="16" s="1"/>
  <c r="K14" i="16"/>
  <c r="I14" i="16" s="1"/>
  <c r="N15" i="16"/>
  <c r="L15" i="16" s="1"/>
  <c r="K20" i="16"/>
  <c r="I20" i="16" s="1"/>
  <c r="H6" i="16"/>
  <c r="F6" i="16" s="1"/>
  <c r="H12" i="4"/>
  <c r="B12" i="4" s="1"/>
  <c r="B10" i="4"/>
  <c r="C10" i="4" s="1"/>
  <c r="E26" i="6"/>
  <c r="K15" i="16"/>
  <c r="I15" i="16" s="1"/>
  <c r="E11" i="16"/>
  <c r="C11" i="16" s="1"/>
  <c r="E12" i="16"/>
  <c r="C12" i="16" s="1"/>
  <c r="B5" i="4"/>
  <c r="C5" i="4" s="1"/>
  <c r="B9" i="17"/>
  <c r="G5" i="4"/>
  <c r="G12" i="4" s="1"/>
  <c r="B8" i="4"/>
  <c r="C8" i="4" s="1"/>
  <c r="D15" i="6"/>
  <c r="E15" i="6" s="1"/>
  <c r="H55" i="13"/>
  <c r="D54" i="13"/>
  <c r="N54" i="13"/>
  <c r="N52" i="13" s="1"/>
  <c r="O68" i="9"/>
  <c r="F68" i="9"/>
  <c r="D81" i="9"/>
  <c r="B18" i="17"/>
  <c r="G123" i="11"/>
  <c r="E54" i="13"/>
  <c r="E52" i="13" s="1"/>
  <c r="L71" i="11"/>
  <c r="D78" i="11"/>
  <c r="D77" i="11" s="1"/>
  <c r="B21" i="13"/>
  <c r="K22" i="2" s="1"/>
  <c r="B15" i="13"/>
  <c r="K16" i="2" s="1"/>
  <c r="I55" i="13"/>
  <c r="N68" i="9"/>
  <c r="E68" i="9"/>
  <c r="B11" i="4"/>
  <c r="C11" i="4" s="1"/>
  <c r="K21" i="6"/>
  <c r="D6" i="6"/>
  <c r="E6" i="6" s="1"/>
  <c r="D20" i="6"/>
  <c r="E20" i="6" s="1"/>
  <c r="D85" i="11"/>
  <c r="O85" i="11" s="1"/>
  <c r="F54" i="13"/>
  <c r="F52" i="13" s="1"/>
  <c r="N55" i="13"/>
  <c r="K54" i="13"/>
  <c r="K52" i="13" s="1"/>
  <c r="D80" i="9"/>
  <c r="D32" i="1"/>
  <c r="K6" i="16"/>
  <c r="I6" i="16" s="1"/>
  <c r="J27" i="16"/>
  <c r="L12" i="4"/>
  <c r="B9" i="4"/>
  <c r="C9" i="4" s="1"/>
  <c r="D7" i="6"/>
  <c r="E7" i="6" s="1"/>
  <c r="D18" i="6"/>
  <c r="E18" i="6" s="1"/>
  <c r="H124" i="11"/>
  <c r="I54" i="13"/>
  <c r="I52" i="13" s="1"/>
  <c r="B15" i="11"/>
  <c r="D79" i="9"/>
  <c r="G90" i="9"/>
  <c r="C26" i="6"/>
  <c r="G49" i="9"/>
  <c r="G122" i="11"/>
  <c r="B16" i="16"/>
  <c r="O19" i="2" s="1"/>
  <c r="B21" i="11"/>
  <c r="J56" i="13"/>
  <c r="O56" i="13" s="1"/>
  <c r="G89" i="9"/>
  <c r="E17" i="16"/>
  <c r="C17" i="16" s="1"/>
  <c r="E5" i="16"/>
  <c r="C5" i="16" s="1"/>
  <c r="Q14" i="16"/>
  <c r="O14" i="16" s="1"/>
  <c r="F49" i="9"/>
  <c r="D48" i="9" s="1"/>
  <c r="D122" i="11"/>
  <c r="D30" i="7"/>
  <c r="D35" i="7" s="1"/>
  <c r="B23" i="16"/>
  <c r="O26" i="2" s="1"/>
  <c r="H25" i="1" s="1"/>
  <c r="B3" i="16"/>
  <c r="O6" i="2" s="1"/>
  <c r="H45" i="13"/>
  <c r="E42" i="9"/>
  <c r="D43" i="9"/>
  <c r="D38" i="9" s="1"/>
  <c r="C25" i="11"/>
  <c r="B25" i="11" s="1"/>
  <c r="C25" i="12"/>
  <c r="B25" i="12" s="1"/>
  <c r="J26" i="2" s="1"/>
  <c r="H21" i="1" s="1"/>
  <c r="D32" i="15"/>
  <c r="H6" i="14"/>
  <c r="H17" i="14"/>
  <c r="H13" i="14"/>
  <c r="H7" i="14"/>
  <c r="H18" i="14"/>
  <c r="H25" i="14"/>
  <c r="H12" i="14"/>
  <c r="G22" i="17"/>
  <c r="L23" i="17"/>
  <c r="G7" i="17"/>
  <c r="G11" i="17"/>
  <c r="G15" i="17"/>
  <c r="G19" i="17"/>
  <c r="G23" i="17"/>
  <c r="B12" i="17"/>
  <c r="B22" i="17"/>
  <c r="B10" i="17"/>
  <c r="F25" i="17"/>
  <c r="F26" i="2" s="1"/>
  <c r="C6" i="17"/>
  <c r="C8" i="17"/>
  <c r="C20" i="17"/>
  <c r="C14" i="17"/>
  <c r="G4" i="17"/>
  <c r="G8" i="17"/>
  <c r="G12" i="17"/>
  <c r="G16" i="17"/>
  <c r="G20" i="17"/>
  <c r="C5" i="17"/>
  <c r="C16" i="17"/>
  <c r="C19" i="17"/>
  <c r="C17" i="17"/>
  <c r="C23" i="17"/>
  <c r="G5" i="17"/>
  <c r="G9" i="17"/>
  <c r="G13" i="17"/>
  <c r="G17" i="17"/>
  <c r="G21" i="17"/>
  <c r="C4" i="17"/>
  <c r="C7" i="17"/>
  <c r="C21" i="17"/>
  <c r="C11" i="17"/>
  <c r="C13" i="17"/>
  <c r="G6" i="17"/>
  <c r="G10" i="17"/>
  <c r="G14" i="17"/>
  <c r="G18" i="17"/>
  <c r="G6" i="15"/>
  <c r="G12" i="15"/>
  <c r="G17" i="15"/>
  <c r="G7" i="15"/>
  <c r="G13" i="15"/>
  <c r="B27" i="15"/>
  <c r="D11" i="14"/>
  <c r="B11" i="14" s="1"/>
  <c r="E12" i="2" s="1"/>
  <c r="D21" i="14"/>
  <c r="B21" i="14" s="1"/>
  <c r="E22" i="2" s="1"/>
  <c r="D10" i="14"/>
  <c r="B10" i="14"/>
  <c r="E11" i="2" s="1"/>
  <c r="D15" i="14"/>
  <c r="B15" i="14" s="1"/>
  <c r="E16" i="2" s="1"/>
  <c r="B5" i="14"/>
  <c r="E6" i="2" s="1"/>
  <c r="H8" i="14"/>
  <c r="H14" i="14"/>
  <c r="H19" i="14"/>
  <c r="H4" i="14"/>
  <c r="H9" i="14"/>
  <c r="H16" i="14"/>
  <c r="O53" i="13"/>
  <c r="C13" i="12"/>
  <c r="C18" i="12"/>
  <c r="C20" i="12"/>
  <c r="C17" i="12"/>
  <c r="G78" i="11"/>
  <c r="G77" i="11" s="1"/>
  <c r="H78" i="11"/>
  <c r="H77" i="11" s="1"/>
  <c r="E78" i="11"/>
  <c r="E77" i="11" s="1"/>
  <c r="E71" i="11" s="1"/>
  <c r="M20" i="11"/>
  <c r="M6" i="11"/>
  <c r="M16" i="11"/>
  <c r="M19" i="11"/>
  <c r="M12" i="11"/>
  <c r="M18" i="11"/>
  <c r="M13" i="11"/>
  <c r="M14" i="11"/>
  <c r="M7" i="11"/>
  <c r="M4" i="11"/>
  <c r="C57" i="11"/>
  <c r="M17" i="11"/>
  <c r="F78" i="11"/>
  <c r="F77" i="11" s="1"/>
  <c r="M9" i="11"/>
  <c r="H56" i="11"/>
  <c r="H57" i="11"/>
  <c r="M8" i="11"/>
  <c r="I13" i="10"/>
  <c r="I4" i="10"/>
  <c r="I12" i="10"/>
  <c r="D25" i="9"/>
  <c r="C25" i="9" s="1"/>
  <c r="C26" i="2" s="1"/>
  <c r="H9" i="1" s="1"/>
  <c r="B7" i="16"/>
  <c r="O10" i="2" s="1"/>
  <c r="Q20" i="16"/>
  <c r="O20" i="16" s="1"/>
  <c r="Q6" i="16"/>
  <c r="H12" i="16"/>
  <c r="F12" i="16" s="1"/>
  <c r="H15" i="16"/>
  <c r="F15" i="16" s="1"/>
  <c r="N20" i="16"/>
  <c r="L20" i="16" s="1"/>
  <c r="N14" i="16"/>
  <c r="L14" i="16" s="1"/>
  <c r="B9" i="16"/>
  <c r="O12" i="2" s="1"/>
  <c r="B4" i="16"/>
  <c r="O7" i="2" s="1"/>
  <c r="Q12" i="16"/>
  <c r="O12" i="16" s="1"/>
  <c r="B8" i="16"/>
  <c r="O11" i="2" s="1"/>
  <c r="H11" i="16"/>
  <c r="F11" i="16" s="1"/>
  <c r="N5" i="16"/>
  <c r="B19" i="16"/>
  <c r="O22" i="2" s="1"/>
  <c r="B22" i="16"/>
  <c r="O25" i="2" s="1"/>
  <c r="B25" i="2" s="1"/>
  <c r="Q15" i="16"/>
  <c r="O15" i="16" s="1"/>
  <c r="H14" i="16"/>
  <c r="F14" i="16" s="1"/>
  <c r="B17" i="16"/>
  <c r="O20" i="2" s="1"/>
  <c r="B18" i="16"/>
  <c r="O21" i="2" s="1"/>
  <c r="B21" i="16"/>
  <c r="O24" i="2" s="1"/>
  <c r="H20" i="16"/>
  <c r="F20" i="16" s="1"/>
  <c r="N12" i="16"/>
  <c r="L12" i="16" s="1"/>
  <c r="N6" i="16"/>
  <c r="L6" i="16" s="1"/>
  <c r="N11" i="16"/>
  <c r="L11" i="16" s="1"/>
  <c r="B13" i="16"/>
  <c r="O16" i="2" s="1"/>
  <c r="B10" i="16"/>
  <c r="O13" i="2" s="1"/>
  <c r="B2" i="16"/>
  <c r="O5" i="2" s="1"/>
  <c r="C25" i="16"/>
  <c r="H26" i="1" l="1"/>
  <c r="H11" i="1"/>
  <c r="H15" i="1" s="1"/>
  <c r="H32" i="1" s="1"/>
  <c r="I25" i="16"/>
  <c r="B14" i="16"/>
  <c r="O17" i="2" s="1"/>
  <c r="B11" i="16"/>
  <c r="O14" i="2" s="1"/>
  <c r="B20" i="16"/>
  <c r="O23" i="2" s="1"/>
  <c r="B15" i="16"/>
  <c r="O18" i="2" s="1"/>
  <c r="B12" i="16"/>
  <c r="O15" i="2" s="1"/>
  <c r="L70" i="11"/>
  <c r="D14" i="11"/>
  <c r="D41" i="11" s="1"/>
  <c r="O77" i="11"/>
  <c r="D42" i="9"/>
  <c r="E4" i="9"/>
  <c r="O55" i="13"/>
  <c r="O84" i="11"/>
  <c r="D52" i="13"/>
  <c r="D45" i="13" s="1"/>
  <c r="O54" i="13"/>
  <c r="O52" i="13" s="1"/>
  <c r="H26" i="17"/>
  <c r="H71" i="11"/>
  <c r="H70" i="11" s="1"/>
  <c r="D22" i="11" s="1"/>
  <c r="F71" i="11"/>
  <c r="K3" i="6"/>
  <c r="K20" i="6" s="1"/>
  <c r="J20" i="6"/>
  <c r="D27" i="16"/>
  <c r="G71" i="11"/>
  <c r="G70" i="11" s="1"/>
  <c r="D8" i="11" s="1"/>
  <c r="O82" i="11"/>
  <c r="F25" i="16"/>
  <c r="F70" i="11"/>
  <c r="D13" i="11" s="1"/>
  <c r="E70" i="11"/>
  <c r="O45" i="13"/>
  <c r="D22" i="13"/>
  <c r="C39" i="13"/>
  <c r="D7" i="11"/>
  <c r="C7" i="12"/>
  <c r="C14" i="12"/>
  <c r="C16" i="12"/>
  <c r="C8" i="12"/>
  <c r="C9" i="12"/>
  <c r="C12" i="12"/>
  <c r="I26" i="10"/>
  <c r="C6" i="12"/>
  <c r="C4" i="12"/>
  <c r="C22" i="12"/>
  <c r="C19" i="12"/>
  <c r="C30" i="14"/>
  <c r="K23" i="17"/>
  <c r="G24" i="2" s="1"/>
  <c r="L28" i="17"/>
  <c r="M26" i="17"/>
  <c r="L27" i="17"/>
  <c r="L26" i="17"/>
  <c r="K17" i="17"/>
  <c r="G18" i="2" s="1"/>
  <c r="K12" i="17"/>
  <c r="G13" i="2" s="1"/>
  <c r="K8" i="17"/>
  <c r="G9" i="2" s="1"/>
  <c r="K21" i="17"/>
  <c r="G22" i="2" s="1"/>
  <c r="K22" i="17"/>
  <c r="G23" i="2" s="1"/>
  <c r="C28" i="17"/>
  <c r="D11" i="17"/>
  <c r="B11" i="17" s="1"/>
  <c r="D16" i="17"/>
  <c r="B16" i="17" s="1"/>
  <c r="D20" i="17"/>
  <c r="B20" i="17" s="1"/>
  <c r="D26" i="17"/>
  <c r="D4" i="17" s="1"/>
  <c r="D27" i="17" s="1"/>
  <c r="D14" i="17"/>
  <c r="B14" i="17" s="1"/>
  <c r="D21" i="17"/>
  <c r="B21" i="17" s="1"/>
  <c r="D23" i="17"/>
  <c r="B23" i="17" s="1"/>
  <c r="D5" i="17"/>
  <c r="B5" i="17"/>
  <c r="D8" i="17"/>
  <c r="B8" i="17"/>
  <c r="D13" i="17"/>
  <c r="B13" i="17" s="1"/>
  <c r="B19" i="17"/>
  <c r="D19" i="17"/>
  <c r="D7" i="17"/>
  <c r="B7" i="17" s="1"/>
  <c r="D17" i="17"/>
  <c r="B17" i="17" s="1"/>
  <c r="G26" i="17"/>
  <c r="G28" i="17"/>
  <c r="G27" i="17"/>
  <c r="D6" i="17"/>
  <c r="B6" i="17" s="1"/>
  <c r="H27" i="15"/>
  <c r="H29" i="15"/>
  <c r="H6" i="15" s="1"/>
  <c r="F6" i="15" s="1"/>
  <c r="M7" i="2" s="1"/>
  <c r="G26" i="15"/>
  <c r="D27" i="15"/>
  <c r="D29" i="15"/>
  <c r="D4" i="15"/>
  <c r="C26" i="15"/>
  <c r="H26" i="13"/>
  <c r="I29" i="13" s="1"/>
  <c r="D26" i="13"/>
  <c r="D27" i="13"/>
  <c r="H27" i="13"/>
  <c r="C31" i="13"/>
  <c r="C29" i="12"/>
  <c r="M27" i="11"/>
  <c r="O78" i="11"/>
  <c r="C55" i="11"/>
  <c r="N18" i="11" s="1"/>
  <c r="L18" i="11" s="1"/>
  <c r="C18" i="11" s="1"/>
  <c r="B18" i="11" s="1"/>
  <c r="M26" i="11"/>
  <c r="S27" i="11"/>
  <c r="H25" i="11"/>
  <c r="G25" i="11" s="1"/>
  <c r="B26" i="2" s="1"/>
  <c r="D30" i="10"/>
  <c r="J22" i="10" s="1"/>
  <c r="H22" i="10" s="1"/>
  <c r="C22" i="10" s="1"/>
  <c r="B22" i="10" s="1"/>
  <c r="D23" i="2" s="1"/>
  <c r="C10" i="9"/>
  <c r="C11" i="2" s="1"/>
  <c r="C12" i="9"/>
  <c r="C13" i="2" s="1"/>
  <c r="C11" i="9"/>
  <c r="C12" i="2" s="1"/>
  <c r="M27" i="16"/>
  <c r="L5" i="16"/>
  <c r="G27" i="16"/>
  <c r="O6" i="16"/>
  <c r="P27" i="16"/>
  <c r="I22" i="14" l="1"/>
  <c r="G22" i="14" s="1"/>
  <c r="C22" i="14" s="1"/>
  <c r="D22" i="14" s="1"/>
  <c r="B22" i="14" s="1"/>
  <c r="E23" i="2" s="1"/>
  <c r="G27" i="12"/>
  <c r="E26" i="12"/>
  <c r="D16" i="11"/>
  <c r="M31" i="17"/>
  <c r="K14" i="17"/>
  <c r="G15" i="2" s="1"/>
  <c r="K10" i="17"/>
  <c r="G11" i="2" s="1"/>
  <c r="K6" i="17"/>
  <c r="G7" i="2" s="1"/>
  <c r="K18" i="17"/>
  <c r="G19" i="2" s="1"/>
  <c r="K19" i="17"/>
  <c r="G20" i="2" s="1"/>
  <c r="K15" i="17"/>
  <c r="G16" i="2" s="1"/>
  <c r="K11" i="17"/>
  <c r="G12" i="2" s="1"/>
  <c r="K20" i="17"/>
  <c r="G21" i="2" s="1"/>
  <c r="K7" i="17"/>
  <c r="G8" i="2" s="1"/>
  <c r="K16" i="17"/>
  <c r="G17" i="2" s="1"/>
  <c r="K9" i="17"/>
  <c r="G10" i="2" s="1"/>
  <c r="K5" i="17"/>
  <c r="G6" i="2" s="1"/>
  <c r="K13" i="17"/>
  <c r="G14" i="2" s="1"/>
  <c r="K4" i="17"/>
  <c r="G5" i="2" s="1"/>
  <c r="D22" i="12"/>
  <c r="B22" i="12" s="1"/>
  <c r="J23" i="2" s="1"/>
  <c r="C26" i="12"/>
  <c r="I9" i="14"/>
  <c r="G9" i="14" s="1"/>
  <c r="C9" i="14" s="1"/>
  <c r="D9" i="14" s="1"/>
  <c r="B9" i="14" s="1"/>
  <c r="E10" i="2" s="1"/>
  <c r="O71" i="11"/>
  <c r="D71" i="11"/>
  <c r="D70" i="11" s="1"/>
  <c r="O70" i="11" s="1"/>
  <c r="E27" i="9"/>
  <c r="E26" i="9"/>
  <c r="C26" i="9" s="1"/>
  <c r="J12" i="10"/>
  <c r="H12" i="10" s="1"/>
  <c r="C12" i="10" s="1"/>
  <c r="B12" i="10" s="1"/>
  <c r="D13" i="2" s="1"/>
  <c r="N22" i="11"/>
  <c r="L22" i="11" s="1"/>
  <c r="C22" i="11" s="1"/>
  <c r="B22" i="11" s="1"/>
  <c r="N17" i="11"/>
  <c r="L17" i="11" s="1"/>
  <c r="C17" i="11" s="1"/>
  <c r="K27" i="17"/>
  <c r="M27" i="17"/>
  <c r="H9" i="17"/>
  <c r="F9" i="17" s="1"/>
  <c r="F10" i="2" s="1"/>
  <c r="H23" i="17"/>
  <c r="F23" i="17" s="1"/>
  <c r="F24" i="2" s="1"/>
  <c r="B24" i="2" s="1"/>
  <c r="H31" i="17"/>
  <c r="H15" i="17"/>
  <c r="F15" i="17" s="1"/>
  <c r="F16" i="2" s="1"/>
  <c r="H11" i="17"/>
  <c r="F11" i="17" s="1"/>
  <c r="F12" i="2" s="1"/>
  <c r="H19" i="17"/>
  <c r="F19" i="17" s="1"/>
  <c r="F20" i="2" s="1"/>
  <c r="H8" i="17"/>
  <c r="F8" i="17" s="1"/>
  <c r="F9" i="2" s="1"/>
  <c r="C27" i="17"/>
  <c r="H20" i="17"/>
  <c r="F20" i="17" s="1"/>
  <c r="F21" i="2" s="1"/>
  <c r="H18" i="17"/>
  <c r="F18" i="17" s="1"/>
  <c r="F19" i="2" s="1"/>
  <c r="H12" i="17"/>
  <c r="F12" i="17" s="1"/>
  <c r="F13" i="2" s="1"/>
  <c r="H5" i="17"/>
  <c r="F5" i="17" s="1"/>
  <c r="F6" i="2" s="1"/>
  <c r="H4" i="17"/>
  <c r="H22" i="17"/>
  <c r="F22" i="17" s="1"/>
  <c r="F23" i="2" s="1"/>
  <c r="H7" i="17"/>
  <c r="F7" i="17" s="1"/>
  <c r="F8" i="2" s="1"/>
  <c r="H14" i="17"/>
  <c r="F14" i="17" s="1"/>
  <c r="F15" i="2" s="1"/>
  <c r="H6" i="17"/>
  <c r="F6" i="17" s="1"/>
  <c r="F7" i="2" s="1"/>
  <c r="H13" i="17"/>
  <c r="F13" i="17" s="1"/>
  <c r="F14" i="2" s="1"/>
  <c r="H17" i="17"/>
  <c r="F17" i="17" s="1"/>
  <c r="F18" i="2" s="1"/>
  <c r="H10" i="17"/>
  <c r="F10" i="17" s="1"/>
  <c r="F11" i="2" s="1"/>
  <c r="H16" i="17"/>
  <c r="F16" i="17" s="1"/>
  <c r="F17" i="2" s="1"/>
  <c r="H21" i="17"/>
  <c r="F21" i="17" s="1"/>
  <c r="F22" i="2" s="1"/>
  <c r="B22" i="2" s="1"/>
  <c r="B4" i="17"/>
  <c r="B27" i="17" s="1"/>
  <c r="H13" i="15"/>
  <c r="F13" i="15" s="1"/>
  <c r="M14" i="2" s="1"/>
  <c r="H7" i="15"/>
  <c r="F7" i="15" s="1"/>
  <c r="M8" i="2" s="1"/>
  <c r="H9" i="15"/>
  <c r="F9" i="15" s="1"/>
  <c r="M10" i="2" s="1"/>
  <c r="H4" i="15"/>
  <c r="H16" i="15"/>
  <c r="F16" i="15" s="1"/>
  <c r="M17" i="2" s="1"/>
  <c r="H22" i="15"/>
  <c r="F22" i="15" s="1"/>
  <c r="M23" i="2" s="1"/>
  <c r="H14" i="15"/>
  <c r="F14" i="15" s="1"/>
  <c r="M15" i="2" s="1"/>
  <c r="H19" i="15"/>
  <c r="F19" i="15" s="1"/>
  <c r="M20" i="2" s="1"/>
  <c r="H18" i="15"/>
  <c r="F18" i="15" s="1"/>
  <c r="M19" i="2" s="1"/>
  <c r="H8" i="15"/>
  <c r="F8" i="15" s="1"/>
  <c r="M9" i="2" s="1"/>
  <c r="H17" i="15"/>
  <c r="F17" i="15" s="1"/>
  <c r="M18" i="2" s="1"/>
  <c r="H12" i="15"/>
  <c r="F12" i="15" s="1"/>
  <c r="M13" i="2" s="1"/>
  <c r="D12" i="15"/>
  <c r="B12" i="15" s="1"/>
  <c r="L13" i="2" s="1"/>
  <c r="D6" i="15"/>
  <c r="B6" i="15" s="1"/>
  <c r="L7" i="2" s="1"/>
  <c r="D17" i="15"/>
  <c r="B17" i="15" s="1"/>
  <c r="L18" i="2" s="1"/>
  <c r="D22" i="15"/>
  <c r="B22" i="15" s="1"/>
  <c r="L23" i="2" s="1"/>
  <c r="D18" i="15"/>
  <c r="B18" i="15" s="1"/>
  <c r="L19" i="2" s="1"/>
  <c r="D13" i="15"/>
  <c r="B13" i="15" s="1"/>
  <c r="L14" i="2" s="1"/>
  <c r="D16" i="15"/>
  <c r="B16" i="15" s="1"/>
  <c r="L17" i="2" s="1"/>
  <c r="B4" i="15"/>
  <c r="D7" i="15"/>
  <c r="B7" i="15" s="1"/>
  <c r="L8" i="2" s="1"/>
  <c r="D19" i="15"/>
  <c r="B19" i="15" s="1"/>
  <c r="L20" i="2" s="1"/>
  <c r="D8" i="15"/>
  <c r="B8" i="15" s="1"/>
  <c r="L9" i="2" s="1"/>
  <c r="D14" i="15"/>
  <c r="B14" i="15" s="1"/>
  <c r="L15" i="2" s="1"/>
  <c r="D9" i="15"/>
  <c r="B9" i="15" s="1"/>
  <c r="L10" i="2" s="1"/>
  <c r="I8" i="14"/>
  <c r="G8" i="14" s="1"/>
  <c r="C8" i="14" s="1"/>
  <c r="I4" i="14"/>
  <c r="I13" i="14"/>
  <c r="G13" i="14" s="1"/>
  <c r="C13" i="14" s="1"/>
  <c r="I18" i="14"/>
  <c r="G18" i="14" s="1"/>
  <c r="C18" i="14" s="1"/>
  <c r="I7" i="14"/>
  <c r="G7" i="14" s="1"/>
  <c r="C7" i="14" s="1"/>
  <c r="I6" i="14"/>
  <c r="G6" i="14" s="1"/>
  <c r="C6" i="14" s="1"/>
  <c r="I20" i="14"/>
  <c r="G20" i="14" s="1"/>
  <c r="C20" i="14" s="1"/>
  <c r="I12" i="14"/>
  <c r="G12" i="14" s="1"/>
  <c r="C12" i="14" s="1"/>
  <c r="I17" i="14"/>
  <c r="G17" i="14" s="1"/>
  <c r="C17" i="14" s="1"/>
  <c r="I19" i="14"/>
  <c r="G19" i="14" s="1"/>
  <c r="C19" i="14" s="1"/>
  <c r="I14" i="14"/>
  <c r="G14" i="14" s="1"/>
  <c r="C14" i="14" s="1"/>
  <c r="I16" i="14"/>
  <c r="G16" i="14" s="1"/>
  <c r="C16" i="14" s="1"/>
  <c r="I19" i="13"/>
  <c r="G19" i="13" s="1"/>
  <c r="C19" i="13" s="1"/>
  <c r="B19" i="13" s="1"/>
  <c r="K20" i="2" s="1"/>
  <c r="I8" i="13"/>
  <c r="G8" i="13" s="1"/>
  <c r="C8" i="13" s="1"/>
  <c r="B8" i="13" s="1"/>
  <c r="K9" i="2" s="1"/>
  <c r="I9" i="13"/>
  <c r="G9" i="13" s="1"/>
  <c r="C9" i="13" s="1"/>
  <c r="B9" i="13" s="1"/>
  <c r="K10" i="2" s="1"/>
  <c r="I18" i="13"/>
  <c r="G18" i="13" s="1"/>
  <c r="C18" i="13" s="1"/>
  <c r="B18" i="13" s="1"/>
  <c r="K19" i="2" s="1"/>
  <c r="I20" i="13"/>
  <c r="G20" i="13" s="1"/>
  <c r="C20" i="13" s="1"/>
  <c r="B20" i="13" s="1"/>
  <c r="K21" i="2" s="1"/>
  <c r="I17" i="13"/>
  <c r="G17" i="13" s="1"/>
  <c r="C17" i="13" s="1"/>
  <c r="B17" i="13" s="1"/>
  <c r="K18" i="2" s="1"/>
  <c r="I22" i="13"/>
  <c r="G22" i="13" s="1"/>
  <c r="C22" i="13" s="1"/>
  <c r="B22" i="13" s="1"/>
  <c r="K23" i="2" s="1"/>
  <c r="I16" i="13"/>
  <c r="G16" i="13" s="1"/>
  <c r="C16" i="13" s="1"/>
  <c r="B16" i="13" s="1"/>
  <c r="K17" i="2" s="1"/>
  <c r="I4" i="13"/>
  <c r="G4" i="13" s="1"/>
  <c r="I14" i="13"/>
  <c r="G14" i="13" s="1"/>
  <c r="C14" i="13" s="1"/>
  <c r="B14" i="13" s="1"/>
  <c r="K15" i="2" s="1"/>
  <c r="I13" i="13"/>
  <c r="G13" i="13" s="1"/>
  <c r="C13" i="13" s="1"/>
  <c r="B13" i="13" s="1"/>
  <c r="K14" i="2" s="1"/>
  <c r="I7" i="13"/>
  <c r="G7" i="13" s="1"/>
  <c r="C7" i="13" s="1"/>
  <c r="B7" i="13" s="1"/>
  <c r="K8" i="2" s="1"/>
  <c r="I6" i="13"/>
  <c r="G6" i="13" s="1"/>
  <c r="C6" i="13" s="1"/>
  <c r="B6" i="13" s="1"/>
  <c r="K7" i="2" s="1"/>
  <c r="D7" i="12"/>
  <c r="B7" i="12" s="1"/>
  <c r="J8" i="2" s="1"/>
  <c r="D17" i="12"/>
  <c r="B17" i="12" s="1"/>
  <c r="J18" i="2" s="1"/>
  <c r="D9" i="12"/>
  <c r="B9" i="12" s="1"/>
  <c r="J10" i="2" s="1"/>
  <c r="D13" i="12"/>
  <c r="B13" i="12" s="1"/>
  <c r="J14" i="2" s="1"/>
  <c r="D18" i="12"/>
  <c r="B18" i="12" s="1"/>
  <c r="J19" i="2" s="1"/>
  <c r="D14" i="12"/>
  <c r="B14" i="12" s="1"/>
  <c r="J15" i="2" s="1"/>
  <c r="D19" i="12"/>
  <c r="B19" i="12" s="1"/>
  <c r="J20" i="2" s="1"/>
  <c r="D8" i="12"/>
  <c r="B8" i="12" s="1"/>
  <c r="J9" i="2" s="1"/>
  <c r="D4" i="12"/>
  <c r="D16" i="12"/>
  <c r="B16" i="12" s="1"/>
  <c r="J17" i="2" s="1"/>
  <c r="D12" i="12"/>
  <c r="B12" i="12" s="1"/>
  <c r="J13" i="2" s="1"/>
  <c r="D20" i="12"/>
  <c r="B20" i="12" s="1"/>
  <c r="J21" i="2" s="1"/>
  <c r="D6" i="12"/>
  <c r="B6" i="12" s="1"/>
  <c r="J7" i="2" s="1"/>
  <c r="N20" i="11"/>
  <c r="L20" i="11" s="1"/>
  <c r="C20" i="11" s="1"/>
  <c r="B20" i="11" s="1"/>
  <c r="N13" i="11"/>
  <c r="L13" i="11" s="1"/>
  <c r="C13" i="11" s="1"/>
  <c r="B13" i="11" s="1"/>
  <c r="N6" i="11"/>
  <c r="L6" i="11" s="1"/>
  <c r="C6" i="11" s="1"/>
  <c r="B6" i="11" s="1"/>
  <c r="N7" i="11"/>
  <c r="L7" i="11" s="1"/>
  <c r="C7" i="11" s="1"/>
  <c r="B7" i="11" s="1"/>
  <c r="N4" i="11"/>
  <c r="C65" i="11"/>
  <c r="O73" i="11"/>
  <c r="N12" i="11"/>
  <c r="L12" i="11" s="1"/>
  <c r="C12" i="11" s="1"/>
  <c r="B12" i="11" s="1"/>
  <c r="N9" i="11"/>
  <c r="L9" i="11" s="1"/>
  <c r="C9" i="11" s="1"/>
  <c r="B9" i="11" s="1"/>
  <c r="R20" i="11"/>
  <c r="R16" i="11"/>
  <c r="R9" i="11"/>
  <c r="R18" i="11"/>
  <c r="R13" i="11"/>
  <c r="R19" i="11"/>
  <c r="R14" i="11"/>
  <c r="R8" i="11"/>
  <c r="R4" i="11"/>
  <c r="R7" i="11"/>
  <c r="R12" i="11"/>
  <c r="R22" i="11"/>
  <c r="R6" i="11"/>
  <c r="R17" i="11"/>
  <c r="N14" i="11"/>
  <c r="L14" i="11" s="1"/>
  <c r="C14" i="11" s="1"/>
  <c r="B14" i="11" s="1"/>
  <c r="B41" i="11" s="1"/>
  <c r="N16" i="11"/>
  <c r="L16" i="11" s="1"/>
  <c r="C16" i="11" s="1"/>
  <c r="B16" i="11" s="1"/>
  <c r="N8" i="11"/>
  <c r="L8" i="11" s="1"/>
  <c r="C8" i="11" s="1"/>
  <c r="B8" i="11" s="1"/>
  <c r="D17" i="11"/>
  <c r="N19" i="11"/>
  <c r="L19" i="11" s="1"/>
  <c r="C19" i="11" s="1"/>
  <c r="B19" i="11" s="1"/>
  <c r="J17" i="10"/>
  <c r="H17" i="10" s="1"/>
  <c r="C17" i="10" s="1"/>
  <c r="B17" i="10" s="1"/>
  <c r="D18" i="2" s="1"/>
  <c r="J4" i="10"/>
  <c r="H4" i="10" s="1"/>
  <c r="J7" i="10"/>
  <c r="H7" i="10" s="1"/>
  <c r="C7" i="10" s="1"/>
  <c r="B7" i="10" s="1"/>
  <c r="D8" i="2" s="1"/>
  <c r="J13" i="10"/>
  <c r="H13" i="10" s="1"/>
  <c r="C13" i="10" s="1"/>
  <c r="B13" i="10" s="1"/>
  <c r="D14" i="2" s="1"/>
  <c r="J14" i="10"/>
  <c r="H14" i="10" s="1"/>
  <c r="C14" i="10" s="1"/>
  <c r="B14" i="10" s="1"/>
  <c r="D15" i="2" s="1"/>
  <c r="J8" i="10"/>
  <c r="H8" i="10" s="1"/>
  <c r="C8" i="10" s="1"/>
  <c r="B8" i="10" s="1"/>
  <c r="D9" i="2" s="1"/>
  <c r="B6" i="16"/>
  <c r="O9" i="2" s="1"/>
  <c r="O25" i="16"/>
  <c r="L25" i="16"/>
  <c r="B5" i="16"/>
  <c r="O8" i="2" s="1"/>
  <c r="G27" i="2" l="1"/>
  <c r="E12" i="1" s="1"/>
  <c r="G12" i="1" s="1"/>
  <c r="J12" i="1" s="1"/>
  <c r="B12" i="2"/>
  <c r="B11" i="2"/>
  <c r="B25" i="16"/>
  <c r="E25" i="1" s="1"/>
  <c r="G25" i="1" s="1"/>
  <c r="I15" i="2"/>
  <c r="B53" i="11"/>
  <c r="G29" i="2"/>
  <c r="J26" i="10"/>
  <c r="R27" i="11"/>
  <c r="H27" i="17"/>
  <c r="F4" i="17"/>
  <c r="F4" i="15"/>
  <c r="H26" i="15"/>
  <c r="L5" i="2"/>
  <c r="L27" i="2" s="1"/>
  <c r="B26" i="15"/>
  <c r="D26" i="15"/>
  <c r="D19" i="14"/>
  <c r="B19" i="14" s="1"/>
  <c r="E20" i="2" s="1"/>
  <c r="D6" i="14"/>
  <c r="B6" i="14" s="1"/>
  <c r="E7" i="2" s="1"/>
  <c r="D17" i="14"/>
  <c r="B17" i="14"/>
  <c r="E18" i="2" s="1"/>
  <c r="D7" i="14"/>
  <c r="B7" i="14"/>
  <c r="E8" i="2" s="1"/>
  <c r="D8" i="14"/>
  <c r="B8" i="14" s="1"/>
  <c r="E9" i="2" s="1"/>
  <c r="D16" i="14"/>
  <c r="B16" i="14" s="1"/>
  <c r="E17" i="2" s="1"/>
  <c r="D12" i="14"/>
  <c r="B12" i="14" s="1"/>
  <c r="E13" i="2" s="1"/>
  <c r="D18" i="14"/>
  <c r="B18" i="14" s="1"/>
  <c r="E19" i="2" s="1"/>
  <c r="G4" i="14"/>
  <c r="H26" i="14"/>
  <c r="D14" i="14"/>
  <c r="B14" i="14" s="1"/>
  <c r="E15" i="2" s="1"/>
  <c r="D20" i="14"/>
  <c r="B20" i="14" s="1"/>
  <c r="E21" i="2" s="1"/>
  <c r="D13" i="14"/>
  <c r="B13" i="14" s="1"/>
  <c r="E14" i="2" s="1"/>
  <c r="G26" i="13"/>
  <c r="C4" i="13"/>
  <c r="G29" i="13"/>
  <c r="D26" i="12"/>
  <c r="B4" i="12"/>
  <c r="D27" i="11"/>
  <c r="D53" i="11" s="1"/>
  <c r="D54" i="11" s="1"/>
  <c r="D26" i="11"/>
  <c r="R26" i="11"/>
  <c r="H55" i="11"/>
  <c r="S8" i="11" s="1"/>
  <c r="Q8" i="11" s="1"/>
  <c r="H8" i="11" s="1"/>
  <c r="G8" i="11" s="1"/>
  <c r="N26" i="11"/>
  <c r="L4" i="11"/>
  <c r="B17" i="11"/>
  <c r="C4" i="10"/>
  <c r="L29" i="2" l="1"/>
  <c r="E23" i="1"/>
  <c r="G23" i="1" s="1"/>
  <c r="I27" i="2"/>
  <c r="E20" i="1" s="1"/>
  <c r="B54" i="11"/>
  <c r="S17" i="11"/>
  <c r="Q17" i="11" s="1"/>
  <c r="H17" i="11" s="1"/>
  <c r="G17" i="11" s="1"/>
  <c r="S14" i="11"/>
  <c r="Q14" i="11" s="1"/>
  <c r="H14" i="11" s="1"/>
  <c r="G14" i="11" s="1"/>
  <c r="S13" i="11"/>
  <c r="Q13" i="11" s="1"/>
  <c r="H13" i="11" s="1"/>
  <c r="G13" i="11" s="1"/>
  <c r="F5" i="2"/>
  <c r="F27" i="2" s="1"/>
  <c r="F27" i="17"/>
  <c r="M5" i="2"/>
  <c r="M27" i="2" s="1"/>
  <c r="F26" i="15"/>
  <c r="C4" i="14"/>
  <c r="G26" i="14"/>
  <c r="C27" i="13"/>
  <c r="B4" i="13"/>
  <c r="C26" i="13"/>
  <c r="B26" i="13" s="1"/>
  <c r="B26" i="12"/>
  <c r="J5" i="2"/>
  <c r="J27" i="2" s="1"/>
  <c r="S20" i="11"/>
  <c r="Q20" i="11" s="1"/>
  <c r="H20" i="11" s="1"/>
  <c r="G20" i="11" s="1"/>
  <c r="S9" i="11"/>
  <c r="Q9" i="11" s="1"/>
  <c r="H9" i="11" s="1"/>
  <c r="G9" i="11" s="1"/>
  <c r="S6" i="11"/>
  <c r="Q6" i="11" s="1"/>
  <c r="H6" i="11" s="1"/>
  <c r="G6" i="11" s="1"/>
  <c r="S12" i="11"/>
  <c r="Q12" i="11" s="1"/>
  <c r="H12" i="11" s="1"/>
  <c r="G12" i="11" s="1"/>
  <c r="B13" i="2" s="1"/>
  <c r="S22" i="11"/>
  <c r="Q22" i="11" s="1"/>
  <c r="H22" i="11" s="1"/>
  <c r="G22" i="11" s="1"/>
  <c r="S16" i="11"/>
  <c r="Q16" i="11" s="1"/>
  <c r="H16" i="11" s="1"/>
  <c r="G16" i="11" s="1"/>
  <c r="S19" i="11"/>
  <c r="Q19" i="11" s="1"/>
  <c r="H19" i="11" s="1"/>
  <c r="G19" i="11" s="1"/>
  <c r="L26" i="11"/>
  <c r="C4" i="11"/>
  <c r="L28" i="11"/>
  <c r="S7" i="11"/>
  <c r="Q7" i="11" s="1"/>
  <c r="H7" i="11" s="1"/>
  <c r="G7" i="11" s="1"/>
  <c r="S18" i="11"/>
  <c r="Q18" i="11" s="1"/>
  <c r="H18" i="11" s="1"/>
  <c r="G18" i="11" s="1"/>
  <c r="S4" i="11"/>
  <c r="B4" i="10"/>
  <c r="C28" i="10"/>
  <c r="C27" i="10"/>
  <c r="B27" i="10" s="1"/>
  <c r="O29" i="2"/>
  <c r="G20" i="1" l="1"/>
  <c r="F29" i="2"/>
  <c r="E11" i="1"/>
  <c r="G11" i="1" s="1"/>
  <c r="J29" i="2"/>
  <c r="E21" i="1"/>
  <c r="G21" i="1" s="1"/>
  <c r="M29" i="2"/>
  <c r="E22" i="1"/>
  <c r="G22" i="1" s="1"/>
  <c r="C26" i="14"/>
  <c r="D4" i="14"/>
  <c r="C28" i="14"/>
  <c r="B27" i="13"/>
  <c r="B29" i="13"/>
  <c r="K5" i="2"/>
  <c r="K27" i="2" s="1"/>
  <c r="S26" i="11"/>
  <c r="Q4" i="11"/>
  <c r="C27" i="11"/>
  <c r="B4" i="11"/>
  <c r="C26" i="11"/>
  <c r="B26" i="11" s="1"/>
  <c r="D5" i="2"/>
  <c r="B28" i="10"/>
  <c r="B29" i="10"/>
  <c r="J25" i="1"/>
  <c r="J26" i="1" s="1"/>
  <c r="F25" i="1"/>
  <c r="F26" i="1" s="1"/>
  <c r="K29" i="2" l="1"/>
  <c r="E24" i="1"/>
  <c r="G24" i="1" s="1"/>
  <c r="G26" i="1" s="1"/>
  <c r="E26" i="1"/>
  <c r="J11" i="1"/>
  <c r="D28" i="14"/>
  <c r="D26" i="14"/>
  <c r="B26" i="14" s="1"/>
  <c r="B4" i="14"/>
  <c r="B27" i="11"/>
  <c r="B28" i="11"/>
  <c r="H4" i="11"/>
  <c r="H26" i="11" s="1"/>
  <c r="G26" i="11" s="1"/>
  <c r="Q26" i="11"/>
  <c r="Q28" i="11" s="1"/>
  <c r="D27" i="2"/>
  <c r="E10" i="1" s="1"/>
  <c r="G10" i="1" s="1"/>
  <c r="D29" i="2"/>
  <c r="F32" i="1"/>
  <c r="J15" i="1" l="1"/>
  <c r="B28" i="14"/>
  <c r="E5" i="2"/>
  <c r="E27" i="2" s="1"/>
  <c r="G28" i="11"/>
  <c r="H27" i="11"/>
  <c r="C53" i="11" s="1"/>
  <c r="G4" i="11"/>
  <c r="E29" i="2" l="1"/>
  <c r="E14" i="1"/>
  <c r="G14" i="1" s="1"/>
  <c r="G27" i="11"/>
  <c r="I29" i="2" l="1"/>
  <c r="H27" i="10"/>
  <c r="C4" i="9" l="1"/>
  <c r="C5" i="2" l="1"/>
  <c r="B5" i="2" l="1"/>
  <c r="C5" i="9"/>
  <c r="C6" i="2" l="1"/>
  <c r="B6" i="2" l="1"/>
  <c r="C6" i="9"/>
  <c r="C7" i="2"/>
  <c r="B7" i="2" l="1"/>
  <c r="C7" i="9"/>
  <c r="C8" i="2"/>
  <c r="B8" i="2"/>
  <c r="C17" i="2"/>
  <c r="B17" i="2" s="1"/>
  <c r="C20" i="9"/>
  <c r="C21" i="2" s="1"/>
  <c r="B21" i="2" s="1"/>
  <c r="C22" i="9"/>
  <c r="C23" i="2"/>
  <c r="B23" i="2" s="1"/>
  <c r="C19" i="9"/>
  <c r="C20" i="2"/>
  <c r="B20" i="2"/>
  <c r="C14" i="9"/>
  <c r="C15" i="2" s="1"/>
  <c r="B15" i="2" s="1"/>
  <c r="C9" i="9"/>
  <c r="C10" i="2"/>
  <c r="B10" i="2" s="1"/>
  <c r="C13" i="9"/>
  <c r="C14" i="2"/>
  <c r="B14" i="2" s="1"/>
  <c r="C8" i="9"/>
  <c r="C9" i="2" s="1"/>
  <c r="D27" i="9"/>
  <c r="C29" i="9"/>
  <c r="C17" i="9"/>
  <c r="C18" i="2"/>
  <c r="B18" i="2" s="1"/>
  <c r="C18" i="9"/>
  <c r="C19" i="2"/>
  <c r="B19" i="2" s="1"/>
  <c r="C16" i="9"/>
  <c r="C15" i="9"/>
  <c r="C16" i="2"/>
  <c r="B16" i="2"/>
  <c r="B9" i="2" l="1"/>
  <c r="C29" i="2"/>
  <c r="C27" i="2"/>
  <c r="C27" i="9"/>
  <c r="B27" i="2" l="1"/>
  <c r="E9" i="1"/>
  <c r="B29" i="2"/>
  <c r="E15" i="1" l="1"/>
  <c r="E32" i="1" s="1"/>
  <c r="G9" i="1"/>
  <c r="G15" i="1" s="1"/>
  <c r="G32" i="1" s="1"/>
</calcChain>
</file>

<file path=xl/comments1.xml><?xml version="1.0" encoding="utf-8"?>
<comments xmlns="http://schemas.openxmlformats.org/spreadsheetml/2006/main">
  <authors>
    <author>LAURENT Audrey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LAURENT Audrey:</t>
        </r>
        <r>
          <rPr>
            <sz val="9"/>
            <color indexed="81"/>
            <rFont val="Tahoma"/>
            <family val="2"/>
          </rPr>
          <t xml:space="preserve">
Pas de TVA appliquée car cabinet étranger</t>
        </r>
      </text>
    </comment>
  </commentList>
</comments>
</file>

<file path=xl/sharedStrings.xml><?xml version="1.0" encoding="utf-8"?>
<sst xmlns="http://schemas.openxmlformats.org/spreadsheetml/2006/main" count="1658" uniqueCount="496">
  <si>
    <r>
      <t xml:space="preserve">BUDGET </t>
    </r>
    <r>
      <rPr>
        <u/>
        <sz val="11"/>
        <color rgb="FFFF0000"/>
        <rFont val="Calibri"/>
        <family val="2"/>
        <charset val="1"/>
      </rPr>
      <t xml:space="preserve">Y COMPRIS </t>
    </r>
    <r>
      <rPr>
        <sz val="11"/>
        <rFont val="Calibri"/>
        <family val="2"/>
        <charset val="1"/>
      </rPr>
      <t>LES SOUCRIPTIONS INDIVIDUELLES SPECIFIQUES SUR LES PANELS</t>
    </r>
  </si>
  <si>
    <t>PREVISIONNEL 2020</t>
  </si>
  <si>
    <t>1/ MARCHE Français</t>
  </si>
  <si>
    <t>MONTANT EN € HT
Prévisionnel 2021</t>
  </si>
  <si>
    <t>MONTANT EN € HT 2020
INTERPROFESSIONS</t>
  </si>
  <si>
    <t>MONTANT EN € HT Prev 2021
INTERPROFESSIONS</t>
  </si>
  <si>
    <t>MONTANT EN € HT Prev 2021
FranceAgriMer</t>
  </si>
  <si>
    <t>(1)</t>
  </si>
  <si>
    <t>Quatrième année du contrat (2018- 2021)</t>
  </si>
  <si>
    <t>DISTRI VINS TRANQUILLES FRANCE Y COMPRIS PROXI</t>
  </si>
  <si>
    <t>DISTRI VINS EFFERVESCENTS FRANCE Y COMPRIS PROXI</t>
  </si>
  <si>
    <t>PANEL SUIVI DES ACHATS EN CHR</t>
  </si>
  <si>
    <t>(2)</t>
  </si>
  <si>
    <t>Deuxième et dernière année du contrat (2019 puis 2021)</t>
  </si>
  <si>
    <t xml:space="preserve">CHR RELEVE D'OFFRE </t>
  </si>
  <si>
    <t>CONSO VINS TRANQUILLES ET EFFERVESCENTS France</t>
  </si>
  <si>
    <t>1/ SOUS TOTAL MARCHE Français</t>
  </si>
  <si>
    <t>STATUT 2018</t>
  </si>
  <si>
    <t>2/ MARCHES EXPORT</t>
  </si>
  <si>
    <t>MONTANT EN € HT</t>
  </si>
  <si>
    <t>Montant projet total 2020 (Cniv + fam)</t>
  </si>
  <si>
    <t>Triannuel</t>
  </si>
  <si>
    <t>MULTI PAYS GTI</t>
  </si>
  <si>
    <t>MULTI PAYS  : WINE INTELLIGENCE</t>
  </si>
  <si>
    <t>UK : PANEL SUIVI DES VENTES EN GD VT VE</t>
  </si>
  <si>
    <t>ALL : PANEL SUIVI DES VENTES EN GD VT VE</t>
  </si>
  <si>
    <t>ALL : SUIVI CONSO VT VE</t>
  </si>
  <si>
    <t>BE : SUIVI CONSO VT VE</t>
  </si>
  <si>
    <t>PAYS-BAS : SUIVI VENTES EN GD VT</t>
  </si>
  <si>
    <t>Annuel</t>
  </si>
  <si>
    <t>MONOPOLES : ACHAT DE DONNEES</t>
  </si>
  <si>
    <t>SOUS TOTAL MARCHES EXPORT</t>
  </si>
  <si>
    <t>STATUT 2019</t>
  </si>
  <si>
    <t>3/ ETUDES TRANSVERSALES</t>
  </si>
  <si>
    <t>SOUS TOTAL ETUDES TRANSVERSALES</t>
  </si>
  <si>
    <t>TOTAL GENERAL en € HT</t>
  </si>
  <si>
    <t>Remarques :</t>
  </si>
  <si>
    <t>Prestation facturée directement aux interprofessions</t>
  </si>
  <si>
    <t>Prestation payée par le Cniv et refacturée dans l'année aux interprofessions</t>
  </si>
  <si>
    <t xml:space="preserve">Modifications apportées : </t>
  </si>
  <si>
    <t>V0</t>
  </si>
  <si>
    <t>Budget identique à 2019, provision du renouvellement relevé d'offre cavistes, renouvellement des prestations pluriannuelles en place en 2019</t>
  </si>
  <si>
    <t>INTERPROFESSIONS</t>
  </si>
  <si>
    <t>TOTAL</t>
  </si>
  <si>
    <t>MARCHE France</t>
  </si>
  <si>
    <t>MARCHES EXPORT</t>
  </si>
  <si>
    <t>IRI VT FR</t>
  </si>
  <si>
    <t>IRI FR EFF</t>
  </si>
  <si>
    <t>KANTAR</t>
  </si>
  <si>
    <t>CHR France</t>
  </si>
  <si>
    <t>ROCHR</t>
  </si>
  <si>
    <t>RO Cavistes</t>
  </si>
  <si>
    <t>IRI UK</t>
  </si>
  <si>
    <t>IRI ALL</t>
  </si>
  <si>
    <t>IRI PB</t>
  </si>
  <si>
    <t>GfK BE</t>
  </si>
  <si>
    <t>GfK ALL</t>
  </si>
  <si>
    <t>GTI</t>
  </si>
  <si>
    <t>MONOPOLES</t>
  </si>
  <si>
    <t>WINE INTELLIGENCE 2021</t>
  </si>
  <si>
    <t>CIVA</t>
  </si>
  <si>
    <t>INTERBEAUJOLAIS</t>
  </si>
  <si>
    <t>IVBD</t>
  </si>
  <si>
    <t>CIVB</t>
  </si>
  <si>
    <t>BIVB</t>
  </si>
  <si>
    <t>UIVC</t>
  </si>
  <si>
    <t>BIVC</t>
  </si>
  <si>
    <t>CIVCORSE</t>
  </si>
  <si>
    <t>CIVC</t>
  </si>
  <si>
    <t>CIVL</t>
  </si>
  <si>
    <t>INTERLOIRE</t>
  </si>
  <si>
    <t>CNPC</t>
  </si>
  <si>
    <t>CIVP</t>
  </si>
  <si>
    <t>INTERRHONE</t>
  </si>
  <si>
    <t>CIVR</t>
  </si>
  <si>
    <t>IVSO</t>
  </si>
  <si>
    <t>INTERVINS SUD EST</t>
  </si>
  <si>
    <t>CIVS</t>
  </si>
  <si>
    <t>INTER OC</t>
  </si>
  <si>
    <t>JURA</t>
  </si>
  <si>
    <t>ANIVIN</t>
  </si>
  <si>
    <t>FRANCEAGRIMER</t>
  </si>
  <si>
    <t>MONTANT TOTAL OUTIL</t>
  </si>
  <si>
    <t>Vérification</t>
  </si>
  <si>
    <t>(20 000 de budget en plus si projet Caviste)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</si>
  <si>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</si>
  <si>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</si>
  <si>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</si>
  <si>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</si>
  <si>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</si>
  <si>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</si>
  <si>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</si>
  <si>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</si>
  <si>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</si>
  <si>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</si>
  <si>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</si>
  <si>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</si>
  <si>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</si>
  <si>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</si>
  <si>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</si>
  <si>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</si>
  <si>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</si>
  <si>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</si>
  <si>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</si>
  <si>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</si>
  <si>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DISTRI VINS TRANQUILLES ET EFFERVESCENTS Allemagne</t>
  </si>
  <si>
    <t>LOT  4 VINS TRANQUILLES PAYS BAS</t>
  </si>
  <si>
    <t>Remise de prix incluse</t>
  </si>
  <si>
    <t>Prix en € HT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</si>
  <si>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</si>
  <si>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</si>
  <si>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</si>
  <si>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</si>
  <si>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</si>
  <si>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</si>
  <si>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</si>
  <si>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</si>
  <si>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</si>
  <si>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</si>
  <si>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</si>
  <si>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</si>
  <si>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</si>
  <si>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</si>
  <si>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</si>
  <si>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</si>
  <si>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</si>
  <si>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</si>
  <si>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</si>
  <si>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</si>
  <si>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</si>
  <si>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</si>
  <si>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</si>
  <si>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</si>
  <si>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</si>
  <si>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</si>
  <si>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</si>
  <si>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</si>
  <si>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</si>
  <si>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</si>
  <si>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</si>
  <si>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</si>
  <si>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</si>
  <si>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</si>
  <si>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</si>
  <si>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</si>
  <si>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</si>
  <si>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</si>
  <si>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</si>
  <si>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</si>
  <si>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</si>
  <si>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</si>
  <si>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</si>
  <si>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</si>
  <si>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</si>
  <si>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</si>
  <si>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</si>
  <si>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</si>
  <si>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</si>
  <si>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</si>
  <si>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</si>
  <si>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</si>
  <si>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</si>
  <si>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</si>
  <si>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</si>
  <si>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</si>
  <si>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</si>
  <si>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</si>
  <si>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</si>
  <si>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</si>
  <si>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</si>
  <si>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</si>
  <si>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</si>
  <si>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Alsace</t>
  </si>
  <si>
    <t>Beaujolais</t>
  </si>
  <si>
    <t>CIVRB</t>
  </si>
  <si>
    <t>Bergerac</t>
  </si>
  <si>
    <t>Cahors</t>
  </si>
  <si>
    <t>Centre</t>
  </si>
  <si>
    <t>Corse</t>
  </si>
  <si>
    <t>Languedoc</t>
  </si>
  <si>
    <t>Pineau Charentes</t>
  </si>
  <si>
    <t>Roussillon</t>
  </si>
  <si>
    <t>Sud Ouest</t>
  </si>
  <si>
    <t>Savoie</t>
  </si>
  <si>
    <t>Forfait</t>
  </si>
  <si>
    <t>-</t>
  </si>
  <si>
    <t>TOTAL INTERPROFESSIONS 1</t>
  </si>
  <si>
    <t>TOTLA INTERPROFESSIONS 2</t>
  </si>
  <si>
    <t>FranceAgriMer</t>
  </si>
  <si>
    <t>MONTANT TOTAL</t>
  </si>
  <si>
    <t>* TVA à 20%</t>
  </si>
  <si>
    <t>Dernière mise à jour :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</si>
  <si>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</si>
  <si>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</si>
  <si>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</si>
  <si>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</si>
  <si>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</si>
  <si>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</si>
  <si>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</si>
  <si>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</si>
  <si>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CNIV</t>
  </si>
  <si>
    <t>DISTRI VINS TRANQUILLES FR</t>
  </si>
  <si>
    <t>DISTRI VINS EFFE FR</t>
  </si>
  <si>
    <t>DISTRI VINS TRANQUILLES ET EFFERVESCENTS UK</t>
  </si>
  <si>
    <t>DISTRI VINS TRANQUILLES PB</t>
  </si>
  <si>
    <t>CONSO VINS TRANQUILLES ET EFFE FR</t>
  </si>
  <si>
    <t>CONSO VINS TRANQUILLES ET EFFE BE</t>
  </si>
  <si>
    <t>CONSO VINS TRANQUILLES ET EFFERVESCENTS Danemark</t>
  </si>
  <si>
    <t>CONSO VINS TRANQUILLES ET EFFERVESCENTS Allemagne</t>
  </si>
  <si>
    <t>DISTRI VINS EFFERVESCENTS TRANQUILLES SUISSE</t>
  </si>
  <si>
    <t>Montant FranceAgriMer inclus 50 % subvention UE</t>
  </si>
  <si>
    <t>SOUS TOTAL PANELS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</si>
  <si>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</si>
  <si>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</si>
  <si>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</si>
  <si>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</si>
  <si>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</si>
  <si>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</si>
  <si>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</si>
  <si>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</si>
  <si>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</si>
  <si>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</si>
  <si>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</si>
  <si>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</si>
  <si>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</si>
  <si>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</si>
  <si>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</si>
  <si>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</si>
  <si>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</si>
  <si>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</si>
  <si>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</si>
  <si>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</si>
  <si>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</si>
  <si>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</si>
  <si>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Interprofessions</t>
  </si>
  <si>
    <t>IRI France Vins tranquilles</t>
  </si>
  <si>
    <t>Grille IRI FR VT</t>
  </si>
  <si>
    <t>MONTANT MUTUALISE AVEC FranceAgriMer</t>
  </si>
  <si>
    <t>OPTIONS INDIVIDUELLES</t>
  </si>
  <si>
    <t>MONTANT OUTIL TOTAL</t>
  </si>
  <si>
    <t>Contrôle</t>
  </si>
  <si>
    <t>Nbe comités</t>
  </si>
  <si>
    <t>Coût prestation de base CNIV/FranceAgriMer</t>
  </si>
  <si>
    <r>
      <t>HT 2021</t>
    </r>
    <r>
      <rPr>
        <vertAlign val="superscript"/>
        <sz val="11"/>
        <color theme="1"/>
        <rFont val="Calibri"/>
        <family val="2"/>
        <charset val="1"/>
      </rPr>
      <t>2</t>
    </r>
  </si>
  <si>
    <r>
      <rPr>
        <vertAlign val="superscript"/>
        <sz val="11"/>
        <color theme="1" tint="0.499984740745262"/>
        <rFont val="Calibri"/>
        <family val="2"/>
      </rPr>
      <t>2</t>
    </r>
    <r>
      <rPr>
        <sz val="11"/>
        <color theme="1" tint="0.499984740745262"/>
        <rFont val="Calibri"/>
        <family val="2"/>
        <charset val="1"/>
      </rPr>
      <t xml:space="preserve"> Prix y compris ILD mise en place partielle (10 k€), incluant la prestation Bio incluse à ILD</t>
    </r>
  </si>
  <si>
    <t>TTC 2021</t>
  </si>
  <si>
    <r>
      <t>Prix initial 2018 HT</t>
    </r>
    <r>
      <rPr>
        <vertAlign val="superscript"/>
        <sz val="11"/>
        <color theme="1"/>
        <rFont val="Calibri"/>
        <family val="2"/>
        <charset val="1"/>
      </rPr>
      <t>1</t>
    </r>
  </si>
  <si>
    <t>Prix initial 2018 TTC</t>
  </si>
  <si>
    <t>Evolution Indice synthec 2021</t>
  </si>
  <si>
    <t>Options individuelles comités € HT - Détail ci-dessous</t>
  </si>
  <si>
    <t>Base spécifique&amp;géographie département</t>
  </si>
  <si>
    <t>TOTAL OPTIONS INDIVIDUELLES PANEL France VINS TRANQUILLES</t>
  </si>
  <si>
    <t>IB</t>
  </si>
  <si>
    <t>IL</t>
  </si>
  <si>
    <t>IR</t>
  </si>
  <si>
    <t>IVSE</t>
  </si>
  <si>
    <t>INTEROC</t>
  </si>
  <si>
    <t>MONTANT A PAYER HT</t>
  </si>
  <si>
    <t>1/Sous total base spécifique et département</t>
  </si>
  <si>
    <t>2/ Base histo</t>
  </si>
  <si>
    <t>1/TDP BIB ET INDIVIDUELLES</t>
  </si>
  <si>
    <t>Comité</t>
  </si>
  <si>
    <t>Indexation</t>
  </si>
  <si>
    <t>Prix unitaire € HT</t>
  </si>
  <si>
    <t>RHONE</t>
  </si>
  <si>
    <t>LOIRE</t>
  </si>
  <si>
    <t>Nombre de lignes TDP</t>
  </si>
  <si>
    <t>15 (dont 6 communes)</t>
  </si>
  <si>
    <t>Détail des TDP souscrites</t>
  </si>
  <si>
    <t>Communes au  CIVB/INTERRHONE/CIVL</t>
  </si>
  <si>
    <t>Intitulé des lignes</t>
  </si>
  <si>
    <t>BIB AOP rouge(&lt;=5l)</t>
  </si>
  <si>
    <t>BIB total Bdx (&lt;=5l)</t>
  </si>
  <si>
    <t>BIB CDR Régionaux rouges</t>
  </si>
  <si>
    <t>BIB IGP Dép. Aude Hérault Gard rouge &lt;=5 l</t>
  </si>
  <si>
    <t>75 Cl Pinot noir</t>
  </si>
  <si>
    <t>BIB AOP blanc(&lt;=5l)</t>
  </si>
  <si>
    <t>BIB total Bdx rouge(&lt;=5l)</t>
  </si>
  <si>
    <t>BIB CDR Régionaux rosés</t>
  </si>
  <si>
    <t>BIB IGP Dép. Aude Hérault Gard rosé &lt;=5 l</t>
  </si>
  <si>
    <t>75 Cl Pinot blanc</t>
  </si>
  <si>
    <t>BIB AOP rosé(&lt;=5l)</t>
  </si>
  <si>
    <t>BIB total Bdx blanc(&lt;=5l)</t>
  </si>
  <si>
    <t>75 cl Ventoux rosé</t>
  </si>
  <si>
    <t>75 Cl Pinot gris</t>
  </si>
  <si>
    <t>BIB IGP rouge(&lt;=5l)</t>
  </si>
  <si>
    <t>BIB total Bdx rosé(&lt;=5l)</t>
  </si>
  <si>
    <t>75 cl luberon rosé</t>
  </si>
  <si>
    <t>BIB IGP blanc(&lt;=5l)</t>
  </si>
  <si>
    <t>BIB aoc Bordeaux rouge (&lt;=5l)</t>
  </si>
  <si>
    <t>75 cl CdNimes rosé</t>
  </si>
  <si>
    <t>BIB IGP rosé(&lt;=5l)</t>
  </si>
  <si>
    <t>Nombre de lignes</t>
  </si>
  <si>
    <t>2/Bases historiques frais d'hébergement</t>
  </si>
  <si>
    <t>3/Bases spécifiques et département</t>
  </si>
  <si>
    <t>IRI France EFFERVESCENTS</t>
  </si>
  <si>
    <t>Détail du calcul de la partie de prestation de base et mutualisée CNIV</t>
  </si>
  <si>
    <t>2021 € HT</t>
  </si>
  <si>
    <t>Total</t>
  </si>
  <si>
    <t>Montant mutualisé</t>
  </si>
  <si>
    <t>Montant partagé</t>
  </si>
  <si>
    <t>MONTANT OUTIL CNIV AVEC OPTIONS</t>
  </si>
  <si>
    <t>Nombre de comités souscripteurs</t>
  </si>
  <si>
    <r>
      <t>HT 2021</t>
    </r>
    <r>
      <rPr>
        <vertAlign val="superscript"/>
        <sz val="11"/>
        <color theme="1"/>
        <rFont val="Calibri"/>
        <family val="2"/>
        <charset val="1"/>
      </rPr>
      <t>1</t>
    </r>
  </si>
  <si>
    <r>
      <rPr>
        <vertAlign val="superscript"/>
        <sz val="11"/>
        <color theme="1" tint="0.499984740745262"/>
        <rFont val="Calibri"/>
        <family val="2"/>
      </rPr>
      <t>1</t>
    </r>
    <r>
      <rPr>
        <sz val="11"/>
        <color theme="1" tint="0.499984740745262"/>
        <rFont val="Calibri"/>
        <family val="2"/>
        <charset val="1"/>
      </rPr>
      <t xml:space="preserve"> Prix y compris ILD mise en place partielle (781€)</t>
    </r>
  </si>
  <si>
    <t>Prix initial 2018 HT</t>
  </si>
  <si>
    <t>TDP</t>
  </si>
  <si>
    <t>Bases historiques&amp;hébergement</t>
  </si>
  <si>
    <t>TOTAL OPTIONS INDIVIDUELLES PANEL France VINS EFFERVESCENTS</t>
  </si>
  <si>
    <t>1/Sous total TDP (20 lignes dans partie fixe)*</t>
  </si>
  <si>
    <t>Sous total bases historiques</t>
  </si>
  <si>
    <t>1/TDP</t>
  </si>
  <si>
    <t>Montant HT à payer par comité, par année</t>
  </si>
  <si>
    <t>20 lignes dans partie fixe vs 15 lignes ad hoc en 2017)</t>
  </si>
  <si>
    <t>12 (dont 11 communes)</t>
  </si>
  <si>
    <t>pour mémoire</t>
  </si>
  <si>
    <t>Historique 2013 avec le nouveau pas sur la TDP : ligne Champagne 265,00 € HT CIVC</t>
  </si>
  <si>
    <t>Modifications</t>
  </si>
  <si>
    <t>OPTIONS INDIVIDUELLES (TB)</t>
  </si>
  <si>
    <t>HT 2021</t>
  </si>
  <si>
    <t>Evolution Indice synthec 2017</t>
  </si>
  <si>
    <t>Options mutualisées CNIV € HT</t>
  </si>
  <si>
    <t>Tableaux de bord € HT 2021</t>
  </si>
  <si>
    <t>Tableaux de bord € HT initial 2018</t>
  </si>
  <si>
    <t>PROJET DE PANEL CHR France
SANS FranceAgriMer</t>
  </si>
  <si>
    <t>PROJET DE PANEL CHR France 
PARTICIPATION FranceAgriMer 50 %</t>
  </si>
  <si>
    <t>RELEVE OFFRE CHR France 
PARTICIPATION FranceAgriMer 50 %</t>
  </si>
  <si>
    <t>Nb comités</t>
  </si>
  <si>
    <t>Indice Synthec</t>
  </si>
  <si>
    <t>Relevés d'offre Caviste</t>
  </si>
  <si>
    <t>IRI UK VT (avec TDP maximisées)</t>
  </si>
  <si>
    <t>IRI UK VEFF</t>
  </si>
  <si>
    <t>IRI Royaume-Uni VT</t>
  </si>
  <si>
    <t>IRI Royaume-Uni VE</t>
  </si>
  <si>
    <t>OPTIONS INDIVIDUELLES (TDP + 1 base histo)</t>
  </si>
  <si>
    <t>VT + Veff</t>
  </si>
  <si>
    <t>MONTANT TOTAL VT + Veff</t>
  </si>
  <si>
    <t>TOTAL UK VT + VEFF</t>
  </si>
  <si>
    <t>Evolution Indice synthec</t>
  </si>
  <si>
    <t>TOTAL OPTIONS INDIVIDUELLES PANEL UK 2021</t>
  </si>
  <si>
    <t>1/Sous total TDP</t>
  </si>
  <si>
    <t>2/Sous total bases historiques</t>
  </si>
  <si>
    <t>Lignes communes</t>
  </si>
  <si>
    <t>Calcul du prix</t>
  </si>
  <si>
    <t>Estimatif</t>
  </si>
  <si>
    <t>Forfait 10 premières TDP</t>
  </si>
  <si>
    <t>20 suivantes prix unitaire (11 à 30)</t>
  </si>
  <si>
    <t>20 suivantes prix unitaire (31 à 50)</t>
  </si>
  <si>
    <t>10 dernières prix unitaires (51 à 59)</t>
  </si>
  <si>
    <t>Détail des lignes TDP UK</t>
  </si>
  <si>
    <t>Commun</t>
  </si>
  <si>
    <t>vins tranquilles rouge</t>
  </si>
  <si>
    <t>VDR total</t>
  </si>
  <si>
    <t>Bordeaux total</t>
  </si>
  <si>
    <t>Corbières rouge</t>
  </si>
  <si>
    <t>Bourgogne rouge total</t>
  </si>
  <si>
    <t>Vin de pays d'oc</t>
  </si>
  <si>
    <t>Muscadet</t>
  </si>
  <si>
    <t>vins tranquilles rosé</t>
  </si>
  <si>
    <t>CDR rouge</t>
  </si>
  <si>
    <t>Bordeaux rouge total</t>
  </si>
  <si>
    <t>Minervois rouge</t>
  </si>
  <si>
    <t>Bourgogne blanc total</t>
  </si>
  <si>
    <t>Vin de pays d'oc Merlot rouge</t>
  </si>
  <si>
    <t>Vouvray</t>
  </si>
  <si>
    <t>vins tranquilles blanc</t>
  </si>
  <si>
    <t>CDR rosé</t>
  </si>
  <si>
    <t>Bordeaux blanctotal</t>
  </si>
  <si>
    <t>Languedoc rouge toal</t>
  </si>
  <si>
    <t>Régionale Bourgogne Pinot Noir</t>
  </si>
  <si>
    <t>Vin de pays d'oc Syrah rouge</t>
  </si>
  <si>
    <t>Rosé d'anjou</t>
  </si>
  <si>
    <t>Vqprd rosé</t>
  </si>
  <si>
    <t>Crus rouge</t>
  </si>
  <si>
    <t>Groupe bordeaux</t>
  </si>
  <si>
    <t>Languedoc blanc toal</t>
  </si>
  <si>
    <t>Pinot étrangers (NZ, Chili, Californie)</t>
  </si>
  <si>
    <t>Vin de pays d'oc rosé</t>
  </si>
  <si>
    <t>Touraine Blanc</t>
  </si>
  <si>
    <t>Vqprd blanc</t>
  </si>
  <si>
    <t>Autres Rhône rouge</t>
  </si>
  <si>
    <t>Groupe Médoc et Graves</t>
  </si>
  <si>
    <t>Languedoc rosé toal</t>
  </si>
  <si>
    <t>Régionale Bourgogne Chardonnay</t>
  </si>
  <si>
    <t>Vin de pays d'oc Cabernet saouvignon rouge</t>
  </si>
  <si>
    <t>Sauvignon NZ</t>
  </si>
  <si>
    <t>Vqprd rouge</t>
  </si>
  <si>
    <t>CDR villages rouge</t>
  </si>
  <si>
    <t>Groupe Libournais</t>
  </si>
  <si>
    <t>AOCChablis</t>
  </si>
  <si>
    <t>Vin de pays d'oc Chardonnay</t>
  </si>
  <si>
    <t>vins de pays cépages rouge</t>
  </si>
  <si>
    <t>Groupe blancs secs</t>
  </si>
  <si>
    <t>"Macon" + "macon villages" + "macon+Noms de commune" blanc</t>
  </si>
  <si>
    <t>Vin de pays d'oc Sauvignon</t>
  </si>
  <si>
    <t>Australie rouge</t>
  </si>
  <si>
    <t>Groupe blancs doux</t>
  </si>
  <si>
    <t>Pinot Noir de NZ</t>
  </si>
  <si>
    <t>Californie rouge</t>
  </si>
  <si>
    <t>Aoc Bordeaux rouge</t>
  </si>
  <si>
    <t>Italie rouge</t>
  </si>
  <si>
    <t>Claret</t>
  </si>
  <si>
    <t>Espagne rouge</t>
  </si>
  <si>
    <t>AOC Bordeaux blanc</t>
  </si>
  <si>
    <t>Chili rouge</t>
  </si>
  <si>
    <t>californie rosé</t>
  </si>
  <si>
    <t>Australie blanc</t>
  </si>
  <si>
    <t>Californie blanc</t>
  </si>
  <si>
    <t>Italie blanc</t>
  </si>
  <si>
    <t>Pinot noir total (yc VDP)</t>
  </si>
  <si>
    <t>Chardonnay total (yc VDP)</t>
  </si>
  <si>
    <t>BASE VINS TRANQUILLES : en 2016 2 bases (2015-2014-2013) et (2012-2011-2010)</t>
  </si>
  <si>
    <t>BASE VINS EFFERVESCENTS</t>
  </si>
  <si>
    <t>3/Modification du pas des TDP</t>
  </si>
  <si>
    <t>IRI Allemagne</t>
  </si>
  <si>
    <t>inclus</t>
  </si>
  <si>
    <t>IRI PAYS BAS VT</t>
  </si>
  <si>
    <t>IRI Pays-Bas</t>
  </si>
  <si>
    <t>MONTANT OUTIL FranceAgriMer SANS OPTIONS</t>
  </si>
  <si>
    <t>TOTAL OPTIONS INDIVIDUELLES PANEL PAYS BAS</t>
  </si>
  <si>
    <t>Détail des TDP</t>
  </si>
  <si>
    <t xml:space="preserve"> IGP OC SYRAH ROUGE </t>
  </si>
  <si>
    <t xml:space="preserve"> IGP OC CABERNET ROUGE </t>
  </si>
  <si>
    <t xml:space="preserve"> IGP OC CHARDONNAY BLANC</t>
  </si>
  <si>
    <t xml:space="preserve"> IGP OC SAUVIGNON BLANC</t>
  </si>
  <si>
    <t>GfK Belgique VT et EFF</t>
  </si>
  <si>
    <t>Gfk Allemagne VT et VE</t>
  </si>
  <si>
    <t>Evolution Indice synthec 2016</t>
  </si>
  <si>
    <t>COLOMBIE BRITANIQUE</t>
  </si>
  <si>
    <t>IVDL</t>
  </si>
  <si>
    <t>CIVJ</t>
  </si>
  <si>
    <t>CNIV (à répartir)</t>
  </si>
  <si>
    <t>Suivi des modifications</t>
  </si>
  <si>
    <t>2021 - 9 comités</t>
  </si>
  <si>
    <t>2022 - 9 comités</t>
  </si>
  <si>
    <t>2023 - 9 comités</t>
  </si>
  <si>
    <t>GRILLE GENERALE DU CNIV 
2019
15/85 CAPEE LISSEE</t>
  </si>
  <si>
    <t>COGNAC</t>
  </si>
  <si>
    <t>Montant HT provisionné en 2020</t>
  </si>
  <si>
    <t>Montant HT 2021</t>
  </si>
  <si>
    <t>Montant HT 2022</t>
  </si>
  <si>
    <t xml:space="preserve">Grille </t>
  </si>
  <si>
    <t>Interprofession</t>
  </si>
  <si>
    <t>Reste à partager</t>
  </si>
  <si>
    <t>(ajout CIVB)</t>
  </si>
  <si>
    <t>(Demande de retrait)</t>
  </si>
  <si>
    <t>Annuel - Mise en concurrence lancée en 2021 pour prestation en sept 2021</t>
  </si>
  <si>
    <t>BUDGET PREVISIONNEL 2021 DES OUTILS ECONOMIQUES</t>
  </si>
  <si>
    <t>V3</t>
  </si>
  <si>
    <t xml:space="preserve">(2) (3) </t>
  </si>
  <si>
    <t>(2) (4)</t>
  </si>
  <si>
    <t>(3)</t>
  </si>
  <si>
    <t>(4)</t>
  </si>
  <si>
    <t>Cette prestation a été appelée auprès des interprofessions (25 000€) mais l'étude ne sera réalisée qu'en 2021 à cause du contexte sanitaire</t>
  </si>
  <si>
    <t xml:space="preserve">Ensemble des vérifications budgétaires faites + Relevés d'offres réunis </t>
  </si>
  <si>
    <t>1ère année du contrat (2021 - 2022 - 2023)</t>
  </si>
  <si>
    <t>CAVISTES RELEVES D'OFFRES</t>
  </si>
  <si>
    <t>Cette année la prestation de relevés d'offres cavistes aura lieu sur l'ensemble du territoire français pour un budget total de 105 000€ qui se compose d'un budget déjà appelé en 2020 pour l'Ile de France (35 000€ HT) et du budget appelé en 2021 (70 000€ HT)</t>
  </si>
  <si>
    <t>MONTANT EN € HT Prévisionnel 2021</t>
  </si>
  <si>
    <t>Montant HT projet total 2021 (Cniv + FAM)</t>
  </si>
  <si>
    <t>MONTANT PREVISIONNEL EN € HT</t>
  </si>
  <si>
    <t>MONTANT EN € HT  2021
FranceAgriMer</t>
  </si>
  <si>
    <t xml:space="preserve">Etude Co-financée à FranceAgriMer, la répartition FAM / Cniv diffère selon les études / panel. Le détail se trouve dans les onglets. </t>
  </si>
  <si>
    <t>Etude financée uniquement par le Cniv</t>
  </si>
  <si>
    <t xml:space="preserve">Budget Cniv études facturées par le Cniv </t>
  </si>
  <si>
    <t>RO CHR</t>
  </si>
  <si>
    <t>Monopoles</t>
  </si>
  <si>
    <t>Facturation Cniv (sur l'année entière)</t>
  </si>
  <si>
    <t xml:space="preserve">Total </t>
  </si>
  <si>
    <t>Séminaire économie &amp; achat d'études</t>
  </si>
  <si>
    <t>Etudes</t>
  </si>
  <si>
    <t>CHR</t>
  </si>
  <si>
    <t>ALSACE</t>
  </si>
  <si>
    <t>BEAUJOLAIS</t>
  </si>
  <si>
    <t>BERGERAC-DURAS</t>
  </si>
  <si>
    <t>BORDEAUX</t>
  </si>
  <si>
    <t>BOURGOGNE</t>
  </si>
  <si>
    <t>CAHORS</t>
  </si>
  <si>
    <t>CENTRE</t>
  </si>
  <si>
    <t>CHAMPAGNE</t>
  </si>
  <si>
    <t>CORSE</t>
  </si>
  <si>
    <t>IGP SUD EST</t>
  </si>
  <si>
    <t>LANGUEDOC</t>
  </si>
  <si>
    <t>PAYS D'OC</t>
  </si>
  <si>
    <t>PINEAU DES CHARENTES</t>
  </si>
  <si>
    <t>PROVENCE</t>
  </si>
  <si>
    <t>ROUSSILLON</t>
  </si>
  <si>
    <t>SAVOIE</t>
  </si>
  <si>
    <t>SUD OUEST</t>
  </si>
  <si>
    <t>VAL DE LOIRE</t>
  </si>
  <si>
    <t>VALLEE DU RHONE</t>
  </si>
  <si>
    <t>SOUS TOTAL INTERPROFESSIONS</t>
  </si>
  <si>
    <t xml:space="preserve">ANIVIN DE FRANCE      </t>
  </si>
  <si>
    <t>ARMAGNAC</t>
  </si>
  <si>
    <t>Séminaire et achat d'études</t>
  </si>
  <si>
    <t>Dernière mise à jour : 17/06/2020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</si>
</sst>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#,##0\ &quot;€&quot;;\-#,##0\ &quot;€&quot;"/>
    <numFmt numFmtId="164" formatCode="#,##0,\€"/>
    <numFmt numFmtId="165" formatCode="#,##0.00,\€"/>
    <numFmt numFmtId="166" formatCode="0.0%"/>
    <numFmt numFmtId="167" formatCode="#,##0\ [$€-40C];[Red]\-#,##0\ [$€-40C]"/>
    <numFmt numFmtId="168" formatCode="_-[$$-409]* #,##0.00_ ;_-[$$-409]* \-#,##0.00,;_-[$$-409]* \-??_ ;_-@_ "/>
    <numFmt numFmtId="169" formatCode="_-* #,##0.00\ [$SEK]_-;\-* #,##0.00\ [$SEK]_-;_-* \-??\ [$SEK]_-;_-@_-"/>
    <numFmt numFmtId="170" formatCode="_-* #,##0.00,\€_-;\-* #,##0.00,\€_-;_-* \-??&quot; €&quot;_-;_-@_-"/>
    <numFmt numFmtId="171" formatCode="#,##0.00\ [$€-40C];[Red]\-#,##0.00\ [$€-40C]"/>
    <numFmt numFmtId="172" formatCode="0.000"/>
    <numFmt numFmtId="173" formatCode="#,##0.0,\€"/>
    <numFmt numFmtId="174" formatCode="[$$-1009]#,##0"/>
    <numFmt numFmtId="175" formatCode="#,##0.00\ &quot;€&quot;"/>
    <numFmt numFmtId="176" formatCode="#,##0\ &quot;€&quot;"/>
    <numFmt numFmtId="177" formatCode="_-* #,##0\ &quot;€&quot;_-;\-* #,##0\ &quot;€&quot;_-;_-* &quot;-&quot;??\ &quot;€&quot;_-;_-@_-"/>
    <numFmt numFmtId="178" formatCode="#,##0\ _€"/>
    <numFmt numFmtId="179" formatCode="#,##0.000\ _€"/>
    <numFmt numFmtId="180" formatCode="#,##0.0\ &quot;€&quot;"/>
    <numFmt numFmtId="181" formatCode="#,##0.000\ &quot;€&quot;"/>
    <numFmt numFmtId="182" formatCode="_-* #,##0\ &quot;€&quot;_-;\-* #,##0\ &quot;€&quot;_-;_-* &quot;-&quot;???\ &quot;€&quot;_-;_-@_-"/>
  </numFmts>
  <fonts count="77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FF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i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  <font>
      <b/>
      <sz val="11"/>
      <color rgb="FF000000"/>
      <name val="Calibri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i/>
      <sz val="8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b/>
      <i/>
      <sz val="9"/>
      <color theme="1" tint="0.499984740745262"/>
      <name val="Calibri"/>
      <family val="2"/>
      <charset val="1"/>
    </font>
    <font>
      <vertAlign val="superscript"/>
      <sz val="11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b/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</font>
    <font>
      <sz val="9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</font>
    <font>
      <sz val="10"/>
      <color theme="1" tint="0.499984740745262"/>
      <name val="Times New Roman"/>
      <family val="1"/>
      <charset val="1"/>
    </font>
    <font>
      <sz val="8"/>
      <color theme="1" tint="0.499984740745262"/>
      <name val="Arial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i/>
      <sz val="11"/>
      <color theme="1"/>
      <name val="Calibri"/>
      <family val="2"/>
      <charset val="1"/>
    </font>
    <font>
      <i/>
      <sz val="9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vertAlign val="superscript"/>
      <sz val="11"/>
      <color theme="1"/>
      <name val="Calibri"/>
      <family val="2"/>
      <charset val="1"/>
    </font>
    <font>
      <b/>
      <i/>
      <sz val="9"/>
      <color theme="1"/>
      <name val="Calibri"/>
      <family val="2"/>
      <charset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rgb="FF7F7F7F"/>
      <name val="Calibri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1"/>
      <color rgb="FFFF0000"/>
      <name val="Calibri"/>
      <family val="2"/>
      <charset val="1"/>
    </font>
    <font>
      <u/>
      <sz val="11"/>
      <color theme="1"/>
      <name val="Calibri"/>
      <family val="2"/>
      <charset val="1"/>
    </font>
    <font>
      <b/>
      <i/>
      <sz val="8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 tint="0.499984740745262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B9CDE5"/>
      </patternFill>
    </fill>
    <fill>
      <patternFill patternType="solid">
        <fgColor rgb="FFE6B9B8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2" tint="-0.499984740745262"/>
        <bgColor theme="0"/>
      </patternFill>
    </fill>
    <fill>
      <patternFill patternType="solid">
        <fgColor theme="0"/>
        <bgColor rgb="FFB9CDE5"/>
      </patternFill>
    </fill>
    <fill>
      <patternFill patternType="solid">
        <fgColor rgb="FFFFFF00"/>
        <bgColor rgb="FFEEECE1"/>
      </patternFill>
    </fill>
    <fill>
      <patternFill patternType="solid">
        <fgColor rgb="FFFF0000"/>
        <bgColor rgb="FFEEECE1"/>
      </patternFill>
    </fill>
    <fill>
      <patternFill patternType="solid">
        <fgColor rgb="FFE2EF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9" tint="0.79998168889431442"/>
        <bgColor rgb="FFEEECE1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170" fontId="19" fillId="0" borderId="0" applyBorder="0" applyProtection="0"/>
    <xf numFmtId="9" fontId="19" fillId="0" borderId="0" applyBorder="0" applyProtection="0"/>
    <xf numFmtId="0" fontId="8" fillId="0" borderId="0" applyBorder="0" applyProtection="0"/>
    <xf numFmtId="0" fontId="19" fillId="0" borderId="0"/>
    <xf numFmtId="0" fontId="20" fillId="0" borderId="0"/>
    <xf numFmtId="9" fontId="19" fillId="0" borderId="0" applyBorder="0" applyProtection="0"/>
    <xf numFmtId="0" fontId="65" fillId="0" borderId="0" applyNumberFormat="0" applyFill="0" applyBorder="0" applyAlignment="0" applyProtection="0"/>
  </cellStyleXfs>
  <cellXfs count="96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165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0" fontId="4" fillId="0" borderId="0" xfId="2" applyNumberFormat="1" applyFont="1" applyBorder="1" applyAlignment="1" applyProtection="1">
      <alignment wrapText="1"/>
    </xf>
    <xf numFmtId="10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166" fontId="19" fillId="0" borderId="0" xfId="2" applyNumberFormat="1" applyBorder="1" applyProtection="1"/>
    <xf numFmtId="0" fontId="5" fillId="0" borderId="0" xfId="0" applyFont="1"/>
    <xf numFmtId="10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0" fontId="4" fillId="0" borderId="20" xfId="0" applyNumberFormat="1" applyFont="1" applyBorder="1" applyAlignment="1">
      <alignment horizontal="center" wrapText="1"/>
    </xf>
    <xf numFmtId="168" fontId="4" fillId="0" borderId="2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horizontal="center" wrapText="1"/>
    </xf>
    <xf numFmtId="165" fontId="6" fillId="0" borderId="27" xfId="0" applyNumberFormat="1" applyFont="1" applyBorder="1" applyAlignment="1">
      <alignment horizontal="center" wrapText="1"/>
    </xf>
    <xf numFmtId="10" fontId="4" fillId="0" borderId="26" xfId="0" applyNumberFormat="1" applyFont="1" applyBorder="1" applyAlignment="1">
      <alignment horizontal="right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wrapText="1"/>
    </xf>
    <xf numFmtId="165" fontId="4" fillId="0" borderId="15" xfId="0" applyNumberFormat="1" applyFont="1" applyBorder="1" applyAlignment="1">
      <alignment wrapText="1"/>
    </xf>
    <xf numFmtId="10" fontId="4" fillId="0" borderId="13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26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vertical="center" wrapText="1"/>
    </xf>
    <xf numFmtId="165" fontId="0" fillId="0" borderId="9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0" fontId="0" fillId="0" borderId="9" xfId="0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21" xfId="0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vertical="center" wrapText="1"/>
    </xf>
    <xf numFmtId="165" fontId="13" fillId="0" borderId="0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165" fontId="0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70" fontId="0" fillId="0" borderId="0" xfId="0" applyNumberFormat="1" applyAlignment="1">
      <alignment wrapText="1"/>
    </xf>
    <xf numFmtId="165" fontId="4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center"/>
    </xf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0" fontId="0" fillId="0" borderId="25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27" xfId="0" applyNumberFormat="1" applyBorder="1"/>
    <xf numFmtId="10" fontId="0" fillId="0" borderId="0" xfId="2" applyNumberFormat="1" applyFont="1" applyBorder="1" applyAlignment="1" applyProtection="1"/>
    <xf numFmtId="0" fontId="0" fillId="0" borderId="26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21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23" xfId="0" applyFont="1" applyBorder="1" applyAlignment="1">
      <alignment horizontal="right" wrapText="1"/>
    </xf>
    <xf numFmtId="10" fontId="0" fillId="0" borderId="23" xfId="2" applyNumberFormat="1" applyFont="1" applyBorder="1" applyAlignment="1" applyProtection="1"/>
    <xf numFmtId="165" fontId="0" fillId="0" borderId="23" xfId="0" applyNumberFormat="1" applyBorder="1"/>
    <xf numFmtId="165" fontId="0" fillId="0" borderId="13" xfId="0" applyNumberFormat="1" applyBorder="1"/>
    <xf numFmtId="0" fontId="4" fillId="0" borderId="17" xfId="0" applyFont="1" applyBorder="1"/>
    <xf numFmtId="0" fontId="4" fillId="0" borderId="22" xfId="0" applyFont="1" applyBorder="1"/>
    <xf numFmtId="10" fontId="4" fillId="0" borderId="22" xfId="0" applyNumberFormat="1" applyFont="1" applyBorder="1"/>
    <xf numFmtId="165" fontId="4" fillId="0" borderId="22" xfId="0" applyNumberFormat="1" applyFont="1" applyBorder="1"/>
    <xf numFmtId="165" fontId="4" fillId="0" borderId="16" xfId="0" applyNumberFormat="1" applyFont="1" applyBorder="1"/>
    <xf numFmtId="0" fontId="0" fillId="0" borderId="20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170" fontId="4" fillId="0" borderId="22" xfId="1" applyFont="1" applyBorder="1" applyAlignment="1" applyProtection="1"/>
    <xf numFmtId="170" fontId="4" fillId="0" borderId="16" xfId="1" applyFont="1" applyBorder="1" applyAlignment="1" applyProtection="1"/>
    <xf numFmtId="165" fontId="0" fillId="0" borderId="0" xfId="0" applyNumberFormat="1"/>
    <xf numFmtId="10" fontId="4" fillId="0" borderId="22" xfId="2" applyNumberFormat="1" applyFont="1" applyBorder="1" applyAlignment="1" applyProtection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left" vertical="center" wrapText="1"/>
    </xf>
    <xf numFmtId="165" fontId="15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165" fontId="16" fillId="0" borderId="9" xfId="0" applyNumberFormat="1" applyFont="1" applyBorder="1" applyAlignment="1">
      <alignment wrapText="1"/>
    </xf>
    <xf numFmtId="0" fontId="16" fillId="0" borderId="21" xfId="0" applyFont="1" applyBorder="1" applyAlignment="1">
      <alignment wrapText="1"/>
    </xf>
    <xf numFmtId="165" fontId="16" fillId="0" borderId="14" xfId="0" applyNumberFormat="1" applyFont="1" applyBorder="1" applyAlignment="1">
      <alignment wrapText="1"/>
    </xf>
    <xf numFmtId="165" fontId="16" fillId="0" borderId="18" xfId="0" applyNumberFormat="1" applyFont="1" applyBorder="1" applyAlignment="1">
      <alignment wrapText="1"/>
    </xf>
    <xf numFmtId="0" fontId="16" fillId="0" borderId="24" xfId="0" applyFont="1" applyBorder="1" applyAlignment="1">
      <alignment wrapText="1"/>
    </xf>
    <xf numFmtId="165" fontId="16" fillId="0" borderId="24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9" fontId="0" fillId="0" borderId="9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0" fillId="0" borderId="24" xfId="0" applyNumberFormat="1" applyBorder="1" applyAlignment="1">
      <alignment wrapText="1"/>
    </xf>
    <xf numFmtId="168" fontId="0" fillId="0" borderId="9" xfId="0" applyNumberFormat="1" applyBorder="1" applyAlignment="1">
      <alignment wrapText="1"/>
    </xf>
    <xf numFmtId="165" fontId="0" fillId="0" borderId="9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4" xfId="2" applyNumberFormat="1" applyFont="1" applyBorder="1" applyAlignment="1" applyProtection="1">
      <alignment wrapText="1"/>
    </xf>
    <xf numFmtId="0" fontId="4" fillId="0" borderId="28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5" fontId="6" fillId="0" borderId="19" xfId="2" applyNumberFormat="1" applyFont="1" applyBorder="1" applyAlignment="1" applyProtection="1">
      <alignment wrapText="1"/>
    </xf>
    <xf numFmtId="2" fontId="18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/>
    <xf numFmtId="165" fontId="0" fillId="0" borderId="0" xfId="0" applyNumberFormat="1" applyBorder="1" applyAlignment="1">
      <alignment wrapText="1"/>
    </xf>
    <xf numFmtId="165" fontId="1" fillId="0" borderId="9" xfId="0" applyNumberFormat="1" applyFont="1" applyBorder="1" applyAlignment="1">
      <alignment horizontal="left" vertical="center" wrapText="1"/>
    </xf>
    <xf numFmtId="166" fontId="0" fillId="0" borderId="9" xfId="2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>
      <alignment wrapText="1"/>
    </xf>
    <xf numFmtId="166" fontId="19" fillId="0" borderId="9" xfId="2" applyNumberFormat="1" applyBorder="1" applyProtection="1"/>
    <xf numFmtId="10" fontId="1" fillId="0" borderId="9" xfId="2" applyNumberFormat="1" applyFont="1" applyBorder="1" applyAlignment="1" applyProtection="1">
      <alignment wrapText="1"/>
    </xf>
    <xf numFmtId="9" fontId="19" fillId="0" borderId="0" xfId="2" applyBorder="1" applyProtection="1"/>
    <xf numFmtId="176" fontId="0" fillId="0" borderId="0" xfId="0" applyNumberFormat="1"/>
    <xf numFmtId="176" fontId="0" fillId="0" borderId="9" xfId="0" applyNumberFormat="1" applyFont="1" applyBorder="1" applyAlignment="1">
      <alignment wrapText="1"/>
    </xf>
    <xf numFmtId="176" fontId="0" fillId="0" borderId="9" xfId="0" applyNumberFormat="1" applyBorder="1"/>
    <xf numFmtId="177" fontId="0" fillId="0" borderId="9" xfId="0" applyNumberFormat="1" applyBorder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wrapText="1"/>
    </xf>
    <xf numFmtId="0" fontId="0" fillId="0" borderId="20" xfId="0" applyBorder="1"/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76" fontId="1" fillId="0" borderId="9" xfId="0" applyNumberFormat="1" applyFont="1" applyBorder="1" applyAlignment="1">
      <alignment wrapText="1"/>
    </xf>
    <xf numFmtId="9" fontId="19" fillId="0" borderId="9" xfId="2" applyNumberFormat="1" applyBorder="1" applyProtection="1"/>
    <xf numFmtId="0" fontId="0" fillId="0" borderId="0" xfId="0" applyFont="1" applyBorder="1"/>
    <xf numFmtId="164" fontId="0" fillId="0" borderId="0" xfId="0" applyNumberFormat="1" applyFont="1" applyBorder="1" applyAlignment="1">
      <alignment wrapText="1"/>
    </xf>
    <xf numFmtId="0" fontId="0" fillId="0" borderId="9" xfId="0" applyFont="1" applyBorder="1"/>
    <xf numFmtId="175" fontId="4" fillId="0" borderId="2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176" fontId="21" fillId="0" borderId="0" xfId="0" applyNumberFormat="1" applyFont="1" applyBorder="1" applyAlignment="1">
      <alignment wrapText="1"/>
    </xf>
    <xf numFmtId="10" fontId="19" fillId="0" borderId="9" xfId="2" applyNumberFormat="1" applyBorder="1"/>
    <xf numFmtId="0" fontId="0" fillId="0" borderId="0" xfId="0" quotePrefix="1" applyAlignment="1">
      <alignment horizontal="right"/>
    </xf>
    <xf numFmtId="14" fontId="0" fillId="0" borderId="0" xfId="0" applyNumberFormat="1"/>
    <xf numFmtId="0" fontId="22" fillId="0" borderId="0" xfId="0" applyFont="1"/>
    <xf numFmtId="176" fontId="0" fillId="0" borderId="0" xfId="0" applyNumberFormat="1" applyAlignment="1">
      <alignment wrapText="1"/>
    </xf>
    <xf numFmtId="176" fontId="5" fillId="0" borderId="0" xfId="0" applyNumberFormat="1" applyFont="1" applyBorder="1" applyAlignment="1">
      <alignment vertical="center" wrapText="1"/>
    </xf>
    <xf numFmtId="176" fontId="8" fillId="0" borderId="9" xfId="3" applyNumberFormat="1" applyBorder="1" applyAlignment="1">
      <alignment vertical="center"/>
    </xf>
    <xf numFmtId="176" fontId="4" fillId="0" borderId="20" xfId="0" applyNumberFormat="1" applyFont="1" applyBorder="1" applyAlignment="1">
      <alignment vertical="center" wrapText="1"/>
    </xf>
    <xf numFmtId="176" fontId="8" fillId="0" borderId="9" xfId="3" applyNumberFormat="1" applyBorder="1"/>
    <xf numFmtId="176" fontId="4" fillId="0" borderId="35" xfId="0" applyNumberFormat="1" applyFont="1" applyBorder="1" applyAlignment="1">
      <alignment wrapText="1"/>
    </xf>
    <xf numFmtId="176" fontId="9" fillId="0" borderId="0" xfId="0" applyNumberFormat="1" applyFont="1" applyAlignment="1">
      <alignment wrapText="1"/>
    </xf>
    <xf numFmtId="176" fontId="6" fillId="0" borderId="11" xfId="0" applyNumberFormat="1" applyFont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4" fillId="0" borderId="9" xfId="0" applyNumberFormat="1" applyFont="1" applyBorder="1" applyAlignment="1">
      <alignment horizontal="center" vertical="center" wrapText="1"/>
    </xf>
    <xf numFmtId="176" fontId="23" fillId="0" borderId="9" xfId="0" applyNumberFormat="1" applyFont="1" applyBorder="1" applyAlignment="1">
      <alignment wrapText="1"/>
    </xf>
    <xf numFmtId="176" fontId="24" fillId="0" borderId="9" xfId="0" applyNumberFormat="1" applyFont="1" applyBorder="1" applyAlignment="1">
      <alignment vertical="center" wrapText="1"/>
    </xf>
    <xf numFmtId="164" fontId="24" fillId="0" borderId="20" xfId="0" applyNumberFormat="1" applyFont="1" applyBorder="1" applyAlignment="1">
      <alignment wrapText="1"/>
    </xf>
    <xf numFmtId="164" fontId="24" fillId="0" borderId="9" xfId="0" applyNumberFormat="1" applyFont="1" applyBorder="1" applyAlignment="1">
      <alignment horizontal="center" vertical="center" wrapText="1"/>
    </xf>
    <xf numFmtId="176" fontId="23" fillId="0" borderId="9" xfId="0" applyNumberFormat="1" applyFont="1" applyBorder="1" applyAlignment="1">
      <alignment horizontal="right" vertical="center" wrapText="1"/>
    </xf>
    <xf numFmtId="176" fontId="24" fillId="0" borderId="9" xfId="0" applyNumberFormat="1" applyFont="1" applyBorder="1" applyAlignment="1">
      <alignment wrapText="1"/>
    </xf>
    <xf numFmtId="176" fontId="24" fillId="0" borderId="0" xfId="0" applyNumberFormat="1" applyFont="1" applyBorder="1" applyAlignment="1">
      <alignment wrapText="1"/>
    </xf>
    <xf numFmtId="176" fontId="24" fillId="0" borderId="11" xfId="0" applyNumberFormat="1" applyFont="1" applyBorder="1" applyAlignment="1">
      <alignment wrapText="1"/>
    </xf>
    <xf numFmtId="176" fontId="25" fillId="0" borderId="0" xfId="0" applyNumberFormat="1" applyFont="1" applyBorder="1" applyAlignment="1">
      <alignment wrapText="1"/>
    </xf>
    <xf numFmtId="164" fontId="26" fillId="0" borderId="0" xfId="0" applyNumberFormat="1" applyFont="1" applyAlignment="1">
      <alignment wrapText="1"/>
    </xf>
    <xf numFmtId="164" fontId="23" fillId="0" borderId="0" xfId="0" applyNumberFormat="1" applyFont="1" applyAlignment="1">
      <alignment wrapText="1"/>
    </xf>
    <xf numFmtId="177" fontId="0" fillId="0" borderId="9" xfId="0" applyNumberFormat="1" applyBorder="1" applyAlignment="1">
      <alignment wrapText="1"/>
    </xf>
    <xf numFmtId="177" fontId="27" fillId="0" borderId="9" xfId="0" applyNumberFormat="1" applyFont="1" applyBorder="1"/>
    <xf numFmtId="176" fontId="27" fillId="0" borderId="36" xfId="0" applyNumberFormat="1" applyFont="1" applyBorder="1"/>
    <xf numFmtId="0" fontId="29" fillId="0" borderId="0" xfId="0" applyFont="1"/>
    <xf numFmtId="0" fontId="29" fillId="0" borderId="9" xfId="0" applyFont="1" applyBorder="1"/>
    <xf numFmtId="176" fontId="29" fillId="0" borderId="9" xfId="0" applyNumberFormat="1" applyFont="1" applyBorder="1"/>
    <xf numFmtId="176" fontId="29" fillId="0" borderId="9" xfId="2" applyNumberFormat="1" applyFont="1" applyBorder="1" applyAlignment="1" applyProtection="1">
      <alignment wrapText="1"/>
    </xf>
    <xf numFmtId="164" fontId="29" fillId="0" borderId="9" xfId="0" applyNumberFormat="1" applyFont="1" applyBorder="1"/>
    <xf numFmtId="164" fontId="29" fillId="0" borderId="0" xfId="0" applyNumberFormat="1" applyFont="1"/>
    <xf numFmtId="176" fontId="28" fillId="0" borderId="9" xfId="0" applyNumberFormat="1" applyFont="1" applyBorder="1"/>
    <xf numFmtId="167" fontId="28" fillId="0" borderId="9" xfId="0" applyNumberFormat="1" applyFont="1" applyBorder="1"/>
    <xf numFmtId="0" fontId="28" fillId="0" borderId="0" xfId="0" applyFont="1"/>
    <xf numFmtId="164" fontId="32" fillId="0" borderId="0" xfId="0" applyNumberFormat="1" applyFont="1" applyBorder="1" applyAlignment="1">
      <alignment wrapText="1"/>
    </xf>
    <xf numFmtId="176" fontId="32" fillId="0" borderId="0" xfId="0" applyNumberFormat="1" applyFont="1" applyBorder="1" applyAlignment="1">
      <alignment wrapText="1"/>
    </xf>
    <xf numFmtId="176" fontId="32" fillId="0" borderId="0" xfId="0" applyNumberFormat="1" applyFont="1" applyBorder="1"/>
    <xf numFmtId="0" fontId="32" fillId="0" borderId="0" xfId="0" applyFont="1"/>
    <xf numFmtId="164" fontId="29" fillId="0" borderId="0" xfId="0" applyNumberFormat="1" applyFont="1" applyBorder="1" applyAlignment="1">
      <alignment wrapText="1"/>
    </xf>
    <xf numFmtId="164" fontId="29" fillId="3" borderId="0" xfId="0" applyNumberFormat="1" applyFont="1" applyFill="1" applyBorder="1" applyAlignment="1">
      <alignment wrapText="1"/>
    </xf>
    <xf numFmtId="164" fontId="31" fillId="0" borderId="0" xfId="0" applyNumberFormat="1" applyFont="1" applyBorder="1" applyAlignment="1">
      <alignment wrapText="1"/>
    </xf>
    <xf numFmtId="0" fontId="29" fillId="0" borderId="0" xfId="0" applyFont="1" applyAlignment="1">
      <alignment wrapText="1"/>
    </xf>
    <xf numFmtId="165" fontId="29" fillId="0" borderId="0" xfId="0" applyNumberFormat="1" applyFont="1"/>
    <xf numFmtId="166" fontId="29" fillId="3" borderId="0" xfId="2" applyNumberFormat="1" applyFont="1" applyFill="1" applyBorder="1" applyAlignment="1" applyProtection="1">
      <alignment wrapText="1"/>
    </xf>
    <xf numFmtId="181" fontId="29" fillId="3" borderId="0" xfId="0" applyNumberFormat="1" applyFont="1" applyFill="1" applyBorder="1" applyAlignment="1">
      <alignment wrapText="1"/>
    </xf>
    <xf numFmtId="0" fontId="29" fillId="3" borderId="0" xfId="0" applyFont="1" applyFill="1" applyBorder="1" applyAlignment="1">
      <alignment wrapText="1"/>
    </xf>
    <xf numFmtId="176" fontId="29" fillId="0" borderId="0" xfId="0" applyNumberFormat="1" applyFont="1" applyAlignment="1">
      <alignment wrapText="1"/>
    </xf>
    <xf numFmtId="165" fontId="29" fillId="0" borderId="0" xfId="2" applyNumberFormat="1" applyFont="1" applyBorder="1" applyProtection="1"/>
    <xf numFmtId="166" fontId="29" fillId="0" borderId="0" xfId="0" applyNumberFormat="1" applyFont="1"/>
    <xf numFmtId="165" fontId="29" fillId="3" borderId="0" xfId="0" applyNumberFormat="1" applyFont="1" applyFill="1" applyAlignment="1">
      <alignment wrapText="1"/>
    </xf>
    <xf numFmtId="166" fontId="29" fillId="3" borderId="0" xfId="0" applyNumberFormat="1" applyFont="1" applyFill="1" applyAlignment="1">
      <alignment wrapText="1"/>
    </xf>
    <xf numFmtId="0" fontId="29" fillId="3" borderId="0" xfId="0" applyFont="1" applyFill="1" applyAlignment="1">
      <alignment wrapText="1"/>
    </xf>
    <xf numFmtId="176" fontId="23" fillId="0" borderId="9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4" fillId="3" borderId="9" xfId="0" applyFont="1" applyFill="1" applyBorder="1" applyAlignment="1">
      <alignment horizontal="center" vertical="center" wrapText="1"/>
    </xf>
    <xf numFmtId="164" fontId="24" fillId="3" borderId="9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0" borderId="0" xfId="0" applyFont="1"/>
    <xf numFmtId="1" fontId="23" fillId="0" borderId="0" xfId="0" applyNumberFormat="1" applyFont="1"/>
    <xf numFmtId="164" fontId="24" fillId="3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3" fillId="0" borderId="18" xfId="0" applyFont="1" applyBorder="1"/>
    <xf numFmtId="166" fontId="23" fillId="3" borderId="18" xfId="2" applyNumberFormat="1" applyFont="1" applyFill="1" applyBorder="1" applyAlignment="1" applyProtection="1">
      <alignment wrapText="1"/>
    </xf>
    <xf numFmtId="176" fontId="23" fillId="3" borderId="18" xfId="2" applyNumberFormat="1" applyFont="1" applyFill="1" applyBorder="1" applyAlignment="1" applyProtection="1">
      <alignment wrapText="1"/>
    </xf>
    <xf numFmtId="176" fontId="23" fillId="3" borderId="21" xfId="2" applyNumberFormat="1" applyFont="1" applyFill="1" applyBorder="1" applyAlignment="1" applyProtection="1">
      <alignment wrapText="1"/>
    </xf>
    <xf numFmtId="166" fontId="23" fillId="3" borderId="0" xfId="2" applyNumberFormat="1" applyFont="1" applyFill="1" applyBorder="1" applyAlignment="1" applyProtection="1">
      <alignment wrapText="1"/>
    </xf>
    <xf numFmtId="176" fontId="23" fillId="3" borderId="0" xfId="2" applyNumberFormat="1" applyFont="1" applyFill="1" applyBorder="1" applyAlignment="1" applyProtection="1">
      <alignment wrapText="1"/>
    </xf>
    <xf numFmtId="166" fontId="23" fillId="0" borderId="0" xfId="2" applyNumberFormat="1" applyFont="1" applyBorder="1"/>
    <xf numFmtId="164" fontId="24" fillId="0" borderId="0" xfId="0" applyNumberFormat="1" applyFont="1" applyBorder="1"/>
    <xf numFmtId="166" fontId="23" fillId="0" borderId="18" xfId="2" applyNumberFormat="1" applyFont="1" applyBorder="1" applyProtection="1"/>
    <xf numFmtId="166" fontId="23" fillId="0" borderId="0" xfId="2" applyNumberFormat="1" applyFont="1" applyBorder="1" applyProtection="1"/>
    <xf numFmtId="166" fontId="23" fillId="0" borderId="0" xfId="2" applyNumberFormat="1" applyFont="1" applyFill="1" applyBorder="1" applyAlignment="1" applyProtection="1">
      <alignment wrapText="1"/>
    </xf>
    <xf numFmtId="0" fontId="23" fillId="0" borderId="0" xfId="0" applyFont="1" applyFill="1" applyBorder="1"/>
    <xf numFmtId="176" fontId="23" fillId="0" borderId="0" xfId="2" applyNumberFormat="1" applyFont="1" applyFill="1" applyBorder="1" applyAlignment="1" applyProtection="1">
      <alignment wrapText="1"/>
    </xf>
    <xf numFmtId="166" fontId="23" fillId="0" borderId="0" xfId="0" applyNumberFormat="1" applyFont="1" applyBorder="1"/>
    <xf numFmtId="0" fontId="23" fillId="0" borderId="18" xfId="0" applyFont="1" applyFill="1" applyBorder="1"/>
    <xf numFmtId="166" fontId="23" fillId="0" borderId="18" xfId="2" applyNumberFormat="1" applyFont="1" applyFill="1" applyBorder="1" applyAlignment="1" applyProtection="1">
      <alignment wrapText="1"/>
    </xf>
    <xf numFmtId="176" fontId="23" fillId="0" borderId="18" xfId="2" applyNumberFormat="1" applyFont="1" applyFill="1" applyBorder="1" applyAlignment="1" applyProtection="1">
      <alignment wrapText="1"/>
    </xf>
    <xf numFmtId="176" fontId="23" fillId="0" borderId="21" xfId="2" applyNumberFormat="1" applyFont="1" applyFill="1" applyBorder="1" applyAlignment="1" applyProtection="1">
      <alignment wrapText="1"/>
    </xf>
    <xf numFmtId="176" fontId="23" fillId="3" borderId="9" xfId="2" applyNumberFormat="1" applyFont="1" applyFill="1" applyBorder="1" applyAlignment="1" applyProtection="1">
      <alignment wrapText="1"/>
    </xf>
    <xf numFmtId="176" fontId="23" fillId="3" borderId="9" xfId="0" applyNumberFormat="1" applyFont="1" applyFill="1" applyBorder="1"/>
    <xf numFmtId="164" fontId="34" fillId="3" borderId="0" xfId="0" applyNumberFormat="1" applyFont="1" applyFill="1" applyBorder="1"/>
    <xf numFmtId="176" fontId="33" fillId="3" borderId="0" xfId="0" applyNumberFormat="1" applyFont="1" applyFill="1" applyBorder="1"/>
    <xf numFmtId="176" fontId="33" fillId="3" borderId="0" xfId="2" applyNumberFormat="1" applyFont="1" applyFill="1" applyBorder="1" applyAlignment="1" applyProtection="1">
      <alignment wrapText="1"/>
    </xf>
    <xf numFmtId="164" fontId="23" fillId="0" borderId="0" xfId="0" applyNumberFormat="1" applyFont="1"/>
    <xf numFmtId="164" fontId="23" fillId="0" borderId="0" xfId="0" applyNumberFormat="1" applyFont="1" applyBorder="1"/>
    <xf numFmtId="164" fontId="23" fillId="0" borderId="0" xfId="0" applyNumberFormat="1" applyFont="1" applyBorder="1" applyAlignment="1">
      <alignment wrapText="1"/>
    </xf>
    <xf numFmtId="164" fontId="24" fillId="3" borderId="0" xfId="0" applyNumberFormat="1" applyFont="1" applyFill="1" applyBorder="1"/>
    <xf numFmtId="176" fontId="23" fillId="3" borderId="0" xfId="0" applyNumberFormat="1" applyFont="1" applyFill="1" applyBorder="1"/>
    <xf numFmtId="164" fontId="23" fillId="3" borderId="0" xfId="2" applyNumberFormat="1" applyFont="1" applyFill="1" applyBorder="1" applyAlignment="1" applyProtection="1">
      <alignment wrapText="1"/>
    </xf>
    <xf numFmtId="164" fontId="33" fillId="0" borderId="0" xfId="0" applyNumberFormat="1" applyFont="1" applyBorder="1" applyAlignment="1">
      <alignment wrapText="1"/>
    </xf>
    <xf numFmtId="164" fontId="23" fillId="0" borderId="26" xfId="0" applyNumberFormat="1" applyFont="1" applyBorder="1" applyAlignment="1">
      <alignment wrapText="1"/>
    </xf>
    <xf numFmtId="0" fontId="23" fillId="3" borderId="23" xfId="0" applyFont="1" applyFill="1" applyBorder="1" applyAlignment="1">
      <alignment horizontal="center" wrapText="1"/>
    </xf>
    <xf numFmtId="1" fontId="23" fillId="3" borderId="0" xfId="2" applyNumberFormat="1" applyFont="1" applyFill="1" applyBorder="1" applyProtection="1"/>
    <xf numFmtId="164" fontId="23" fillId="0" borderId="18" xfId="0" applyNumberFormat="1" applyFont="1" applyBorder="1" applyAlignment="1">
      <alignment wrapText="1"/>
    </xf>
    <xf numFmtId="0" fontId="36" fillId="0" borderId="0" xfId="0" applyFont="1"/>
    <xf numFmtId="0" fontId="23" fillId="3" borderId="0" xfId="0" applyFont="1" applyFill="1" applyBorder="1"/>
    <xf numFmtId="0" fontId="37" fillId="6" borderId="0" xfId="0" applyFont="1" applyFill="1"/>
    <xf numFmtId="0" fontId="38" fillId="6" borderId="0" xfId="0" applyFont="1" applyFill="1"/>
    <xf numFmtId="0" fontId="23" fillId="11" borderId="0" xfId="0" applyFont="1" applyFill="1" applyBorder="1"/>
    <xf numFmtId="0" fontId="23" fillId="11" borderId="0" xfId="0" applyFont="1" applyFill="1"/>
    <xf numFmtId="0" fontId="23" fillId="11" borderId="0" xfId="0" applyFont="1" applyFill="1" applyAlignment="1">
      <alignment horizontal="center"/>
    </xf>
    <xf numFmtId="0" fontId="37" fillId="0" borderId="9" xfId="0" applyFont="1" applyFill="1" applyBorder="1" applyAlignment="1">
      <alignment horizontal="right"/>
    </xf>
    <xf numFmtId="1" fontId="24" fillId="0" borderId="24" xfId="0" applyNumberFormat="1" applyFont="1" applyFill="1" applyBorder="1" applyAlignment="1">
      <alignment horizontal="center" vertical="center" wrapText="1"/>
    </xf>
    <xf numFmtId="1" fontId="37" fillId="0" borderId="24" xfId="0" applyNumberFormat="1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176" fontId="38" fillId="0" borderId="9" xfId="0" applyNumberFormat="1" applyFont="1" applyBorder="1" applyAlignment="1">
      <alignment horizontal="right"/>
    </xf>
    <xf numFmtId="176" fontId="24" fillId="0" borderId="9" xfId="0" applyNumberFormat="1" applyFont="1" applyBorder="1" applyAlignment="1">
      <alignment horizontal="center" vertical="center" wrapText="1"/>
    </xf>
    <xf numFmtId="0" fontId="23" fillId="12" borderId="0" xfId="0" applyFont="1" applyFill="1"/>
    <xf numFmtId="0" fontId="37" fillId="0" borderId="0" xfId="0" applyFont="1" applyBorder="1" applyAlignment="1"/>
    <xf numFmtId="1" fontId="37" fillId="0" borderId="0" xfId="0" applyNumberFormat="1" applyFont="1" applyBorder="1" applyAlignment="1"/>
    <xf numFmtId="1" fontId="24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/>
    <xf numFmtId="0" fontId="23" fillId="10" borderId="0" xfId="0" applyFont="1" applyFill="1"/>
    <xf numFmtId="0" fontId="37" fillId="6" borderId="0" xfId="0" applyFont="1" applyFill="1" applyBorder="1"/>
    <xf numFmtId="0" fontId="37" fillId="0" borderId="9" xfId="0" applyFont="1" applyBorder="1" applyAlignment="1">
      <alignment horizontal="right" vertical="center"/>
    </xf>
    <xf numFmtId="0" fontId="37" fillId="0" borderId="9" xfId="0" applyFont="1" applyBorder="1" applyAlignment="1">
      <alignment vertical="center" wrapText="1"/>
    </xf>
    <xf numFmtId="0" fontId="37" fillId="0" borderId="24" xfId="0" applyFont="1" applyBorder="1" applyAlignment="1">
      <alignment horizontal="right" vertical="center" wrapText="1"/>
    </xf>
    <xf numFmtId="1" fontId="24" fillId="0" borderId="24" xfId="0" applyNumberFormat="1" applyFont="1" applyBorder="1" applyAlignment="1">
      <alignment horizontal="center" vertical="center" wrapText="1"/>
    </xf>
    <xf numFmtId="1" fontId="37" fillId="0" borderId="24" xfId="0" applyNumberFormat="1" applyFont="1" applyBorder="1" applyAlignment="1">
      <alignment horizontal="center" vertical="center" wrapText="1"/>
    </xf>
    <xf numFmtId="172" fontId="38" fillId="0" borderId="9" xfId="0" applyNumberFormat="1" applyFont="1" applyBorder="1" applyAlignment="1"/>
    <xf numFmtId="176" fontId="38" fillId="0" borderId="9" xfId="0" applyNumberFormat="1" applyFont="1" applyBorder="1" applyAlignment="1">
      <alignment vertical="center" wrapText="1"/>
    </xf>
    <xf numFmtId="176" fontId="38" fillId="0" borderId="9" xfId="0" applyNumberFormat="1" applyFont="1" applyBorder="1"/>
    <xf numFmtId="0" fontId="23" fillId="0" borderId="0" xfId="0" applyFont="1" applyBorder="1" applyAlignment="1">
      <alignment vertical="center"/>
    </xf>
    <xf numFmtId="0" fontId="38" fillId="0" borderId="9" xfId="0" applyFont="1" applyBorder="1"/>
    <xf numFmtId="0" fontId="37" fillId="0" borderId="0" xfId="0" applyFont="1" applyBorder="1" applyAlignment="1">
      <alignment horizontal="right"/>
    </xf>
    <xf numFmtId="0" fontId="38" fillId="0" borderId="0" xfId="0" applyFont="1" applyBorder="1"/>
    <xf numFmtId="0" fontId="23" fillId="3" borderId="0" xfId="0" applyFont="1" applyFill="1"/>
    <xf numFmtId="0" fontId="24" fillId="0" borderId="9" xfId="0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center" wrapText="1"/>
    </xf>
    <xf numFmtId="1" fontId="23" fillId="0" borderId="0" xfId="0" applyNumberFormat="1" applyFont="1" applyBorder="1" applyAlignment="1">
      <alignment horizontal="right" vertical="center" wrapText="1"/>
    </xf>
    <xf numFmtId="0" fontId="37" fillId="0" borderId="9" xfId="0" applyFont="1" applyBorder="1" applyAlignment="1">
      <alignment wrapText="1"/>
    </xf>
    <xf numFmtId="172" fontId="23" fillId="0" borderId="9" xfId="2" applyNumberFormat="1" applyFont="1" applyBorder="1"/>
    <xf numFmtId="176" fontId="38" fillId="0" borderId="9" xfId="0" applyNumberFormat="1" applyFont="1" applyBorder="1" applyAlignment="1">
      <alignment wrapText="1"/>
    </xf>
    <xf numFmtId="176" fontId="38" fillId="0" borderId="24" xfId="0" applyNumberFormat="1" applyFont="1" applyBorder="1" applyAlignment="1">
      <alignment wrapText="1"/>
    </xf>
    <xf numFmtId="0" fontId="37" fillId="12" borderId="9" xfId="0" applyFont="1" applyFill="1" applyBorder="1" applyAlignment="1">
      <alignment horizontal="right"/>
    </xf>
    <xf numFmtId="0" fontId="37" fillId="12" borderId="9" xfId="0" quotePrefix="1" applyFont="1" applyFill="1" applyBorder="1" applyAlignment="1">
      <alignment horizontal="right" wrapText="1"/>
    </xf>
    <xf numFmtId="176" fontId="39" fillId="12" borderId="9" xfId="0" applyNumberFormat="1" applyFont="1" applyFill="1" applyBorder="1" applyAlignment="1">
      <alignment horizontal="right" wrapText="1"/>
    </xf>
    <xf numFmtId="176" fontId="39" fillId="12" borderId="24" xfId="0" applyNumberFormat="1" applyFont="1" applyFill="1" applyBorder="1" applyAlignment="1">
      <alignment horizontal="right" wrapText="1"/>
    </xf>
    <xf numFmtId="176" fontId="38" fillId="12" borderId="9" xfId="0" applyNumberFormat="1" applyFont="1" applyFill="1" applyBorder="1" applyAlignment="1">
      <alignment wrapText="1"/>
    </xf>
    <xf numFmtId="172" fontId="38" fillId="12" borderId="9" xfId="0" applyNumberFormat="1" applyFont="1" applyFill="1" applyBorder="1" applyAlignment="1"/>
    <xf numFmtId="176" fontId="38" fillId="12" borderId="9" xfId="0" applyNumberFormat="1" applyFont="1" applyFill="1" applyBorder="1"/>
    <xf numFmtId="0" fontId="38" fillId="0" borderId="0" xfId="0" applyFont="1" applyBorder="1" applyAlignment="1">
      <alignment horizontal="right"/>
    </xf>
    <xf numFmtId="176" fontId="38" fillId="0" borderId="0" xfId="0" applyNumberFormat="1" applyFont="1" applyBorder="1"/>
    <xf numFmtId="176" fontId="38" fillId="12" borderId="0" xfId="0" applyNumberFormat="1" applyFont="1" applyFill="1" applyBorder="1" applyAlignment="1">
      <alignment wrapText="1"/>
    </xf>
    <xf numFmtId="164" fontId="24" fillId="3" borderId="20" xfId="0" applyNumberFormat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176" fontId="23" fillId="0" borderId="0" xfId="0" applyNumberFormat="1" applyFont="1"/>
    <xf numFmtId="176" fontId="23" fillId="3" borderId="13" xfId="2" applyNumberFormat="1" applyFont="1" applyFill="1" applyBorder="1" applyAlignment="1" applyProtection="1">
      <alignment wrapText="1"/>
    </xf>
    <xf numFmtId="176" fontId="33" fillId="3" borderId="0" xfId="0" applyNumberFormat="1" applyFont="1" applyFill="1"/>
    <xf numFmtId="0" fontId="40" fillId="0" borderId="0" xfId="0" applyFont="1"/>
    <xf numFmtId="0" fontId="23" fillId="3" borderId="22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164" fontId="23" fillId="3" borderId="0" xfId="0" applyNumberFormat="1" applyFont="1" applyFill="1"/>
    <xf numFmtId="0" fontId="41" fillId="0" borderId="0" xfId="0" applyFont="1" applyAlignment="1">
      <alignment horizontal="left" vertical="center" indent="3"/>
    </xf>
    <xf numFmtId="0" fontId="23" fillId="3" borderId="17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75" fontId="23" fillId="3" borderId="9" xfId="0" applyNumberFormat="1" applyFont="1" applyFill="1" applyBorder="1"/>
    <xf numFmtId="164" fontId="23" fillId="3" borderId="9" xfId="0" applyNumberFormat="1" applyFont="1" applyFill="1" applyBorder="1"/>
    <xf numFmtId="166" fontId="23" fillId="0" borderId="0" xfId="0" applyNumberFormat="1" applyFont="1"/>
    <xf numFmtId="166" fontId="23" fillId="3" borderId="0" xfId="0" applyNumberFormat="1" applyFont="1" applyFill="1"/>
    <xf numFmtId="1" fontId="24" fillId="0" borderId="9" xfId="0" applyNumberFormat="1" applyFont="1" applyBorder="1" applyAlignment="1">
      <alignment horizontal="center" vertical="center" wrapText="1"/>
    </xf>
    <xf numFmtId="1" fontId="24" fillId="3" borderId="24" xfId="0" applyNumberFormat="1" applyFont="1" applyFill="1" applyBorder="1" applyAlignment="1">
      <alignment horizontal="center" vertical="center" wrapText="1"/>
    </xf>
    <xf numFmtId="176" fontId="41" fillId="0" borderId="9" xfId="0" applyNumberFormat="1" applyFont="1" applyBorder="1"/>
    <xf numFmtId="176" fontId="24" fillId="3" borderId="9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1" fontId="24" fillId="3" borderId="0" xfId="0" applyNumberFormat="1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wrapText="1"/>
    </xf>
    <xf numFmtId="172" fontId="38" fillId="0" borderId="14" xfId="0" applyNumberFormat="1" applyFont="1" applyBorder="1" applyAlignment="1"/>
    <xf numFmtId="177" fontId="38" fillId="0" borderId="14" xfId="0" applyNumberFormat="1" applyFont="1" applyBorder="1" applyAlignment="1">
      <alignment wrapText="1"/>
    </xf>
    <xf numFmtId="177" fontId="38" fillId="3" borderId="14" xfId="0" applyNumberFormat="1" applyFont="1" applyFill="1" applyBorder="1"/>
    <xf numFmtId="177" fontId="38" fillId="0" borderId="9" xfId="0" applyNumberFormat="1" applyFont="1" applyBorder="1"/>
    <xf numFmtId="177" fontId="38" fillId="3" borderId="9" xfId="0" applyNumberFormat="1" applyFont="1" applyFill="1" applyBorder="1"/>
    <xf numFmtId="0" fontId="23" fillId="3" borderId="9" xfId="0" applyFont="1" applyFill="1" applyBorder="1"/>
    <xf numFmtId="0" fontId="38" fillId="3" borderId="0" xfId="0" applyFont="1" applyFill="1" applyBorder="1"/>
    <xf numFmtId="1" fontId="24" fillId="3" borderId="0" xfId="0" applyNumberFormat="1" applyFont="1" applyFill="1" applyBorder="1" applyAlignment="1">
      <alignment horizontal="right" vertical="center" wrapText="1"/>
    </xf>
    <xf numFmtId="1" fontId="42" fillId="3" borderId="0" xfId="0" applyNumberFormat="1" applyFont="1" applyFill="1" applyBorder="1" applyAlignment="1">
      <alignment wrapText="1"/>
    </xf>
    <xf numFmtId="1" fontId="42" fillId="0" borderId="0" xfId="0" applyNumberFormat="1" applyFont="1" applyBorder="1" applyAlignment="1">
      <alignment wrapText="1"/>
    </xf>
    <xf numFmtId="176" fontId="37" fillId="0" borderId="9" xfId="0" applyNumberFormat="1" applyFont="1" applyBorder="1" applyAlignment="1">
      <alignment wrapText="1"/>
    </xf>
    <xf numFmtId="176" fontId="23" fillId="3" borderId="24" xfId="0" applyNumberFormat="1" applyFont="1" applyFill="1" applyBorder="1" applyAlignment="1">
      <alignment horizontal="right" vertical="center" wrapText="1"/>
    </xf>
    <xf numFmtId="176" fontId="23" fillId="3" borderId="9" xfId="0" applyNumberFormat="1" applyFont="1" applyFill="1" applyBorder="1" applyAlignment="1">
      <alignment horizontal="right" vertical="center" wrapText="1"/>
    </xf>
    <xf numFmtId="176" fontId="38" fillId="0" borderId="9" xfId="0" applyNumberFormat="1" applyFont="1" applyBorder="1" applyAlignment="1">
      <alignment horizontal="right" wrapText="1"/>
    </xf>
    <xf numFmtId="176" fontId="38" fillId="3" borderId="9" xfId="0" applyNumberFormat="1" applyFont="1" applyFill="1" applyBorder="1"/>
    <xf numFmtId="0" fontId="23" fillId="0" borderId="20" xfId="0" applyFont="1" applyFill="1" applyBorder="1"/>
    <xf numFmtId="0" fontId="24" fillId="0" borderId="23" xfId="0" applyFont="1" applyFill="1" applyBorder="1" applyAlignment="1">
      <alignment horizontal="center" vertical="center" wrapText="1"/>
    </xf>
    <xf numFmtId="171" fontId="24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/>
    <xf numFmtId="0" fontId="24" fillId="0" borderId="9" xfId="0" applyFont="1" applyFill="1" applyBorder="1" applyAlignment="1">
      <alignment horizontal="left" vertical="center" wrapText="1"/>
    </xf>
    <xf numFmtId="176" fontId="23" fillId="0" borderId="18" xfId="0" applyNumberFormat="1" applyFont="1" applyBorder="1"/>
    <xf numFmtId="176" fontId="23" fillId="0" borderId="18" xfId="2" applyNumberFormat="1" applyFont="1" applyBorder="1" applyAlignment="1" applyProtection="1">
      <alignment wrapText="1"/>
    </xf>
    <xf numFmtId="176" fontId="23" fillId="0" borderId="0" xfId="2" applyNumberFormat="1" applyFont="1" applyBorder="1" applyAlignment="1" applyProtection="1">
      <alignment wrapText="1"/>
    </xf>
    <xf numFmtId="176" fontId="23" fillId="0" borderId="21" xfId="2" applyNumberFormat="1" applyFont="1" applyBorder="1" applyAlignment="1" applyProtection="1">
      <alignment wrapText="1"/>
    </xf>
    <xf numFmtId="176" fontId="23" fillId="0" borderId="9" xfId="0" applyNumberFormat="1" applyFont="1" applyBorder="1"/>
    <xf numFmtId="176" fontId="23" fillId="0" borderId="22" xfId="0" applyNumberFormat="1" applyFont="1" applyBorder="1"/>
    <xf numFmtId="176" fontId="23" fillId="0" borderId="16" xfId="0" applyNumberFormat="1" applyFont="1" applyBorder="1"/>
    <xf numFmtId="176" fontId="23" fillId="0" borderId="18" xfId="0" applyNumberFormat="1" applyFont="1" applyBorder="1" applyAlignment="1">
      <alignment wrapText="1"/>
    </xf>
    <xf numFmtId="176" fontId="23" fillId="0" borderId="23" xfId="0" applyNumberFormat="1" applyFont="1" applyBorder="1"/>
    <xf numFmtId="176" fontId="23" fillId="0" borderId="13" xfId="0" applyNumberFormat="1" applyFont="1" applyBorder="1"/>
    <xf numFmtId="164" fontId="25" fillId="0" borderId="20" xfId="0" applyNumberFormat="1" applyFont="1" applyBorder="1" applyAlignment="1">
      <alignment wrapText="1"/>
    </xf>
    <xf numFmtId="176" fontId="25" fillId="3" borderId="0" xfId="0" applyNumberFormat="1" applyFont="1" applyFill="1"/>
    <xf numFmtId="176" fontId="33" fillId="0" borderId="0" xfId="0" applyNumberFormat="1" applyFont="1"/>
    <xf numFmtId="0" fontId="33" fillId="0" borderId="0" xfId="0" applyFont="1"/>
    <xf numFmtId="176" fontId="33" fillId="0" borderId="20" xfId="0" applyNumberFormat="1" applyFont="1" applyBorder="1" applyAlignment="1">
      <alignment wrapText="1"/>
    </xf>
    <xf numFmtId="176" fontId="33" fillId="0" borderId="0" xfId="0" applyNumberFormat="1" applyFont="1" applyBorder="1"/>
    <xf numFmtId="176" fontId="33" fillId="0" borderId="20" xfId="0" applyNumberFormat="1" applyFont="1" applyBorder="1"/>
    <xf numFmtId="164" fontId="25" fillId="0" borderId="0" xfId="0" applyNumberFormat="1" applyFont="1" applyBorder="1"/>
    <xf numFmtId="1" fontId="23" fillId="3" borderId="0" xfId="2" applyNumberFormat="1" applyFont="1" applyFill="1" applyBorder="1" applyAlignment="1" applyProtection="1">
      <alignment wrapText="1"/>
    </xf>
    <xf numFmtId="1" fontId="23" fillId="0" borderId="0" xfId="2" applyNumberFormat="1" applyFont="1" applyBorder="1" applyAlignment="1" applyProtection="1">
      <alignment wrapText="1"/>
    </xf>
    <xf numFmtId="1" fontId="23" fillId="0" borderId="0" xfId="2" applyNumberFormat="1" applyFont="1" applyBorder="1" applyAlignment="1" applyProtection="1">
      <alignment horizontal="left"/>
    </xf>
    <xf numFmtId="1" fontId="23" fillId="3" borderId="0" xfId="2" applyNumberFormat="1" applyFont="1" applyFill="1" applyBorder="1" applyAlignment="1" applyProtection="1">
      <alignment horizontal="right"/>
    </xf>
    <xf numFmtId="0" fontId="23" fillId="3" borderId="17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 wrapText="1"/>
    </xf>
    <xf numFmtId="176" fontId="23" fillId="3" borderId="9" xfId="0" applyNumberFormat="1" applyFont="1" applyFill="1" applyBorder="1" applyAlignment="1">
      <alignment vertical="center" wrapText="1"/>
    </xf>
    <xf numFmtId="0" fontId="38" fillId="0" borderId="24" xfId="0" applyFont="1" applyBorder="1" applyAlignment="1">
      <alignment wrapText="1"/>
    </xf>
    <xf numFmtId="172" fontId="39" fillId="0" borderId="9" xfId="0" applyNumberFormat="1" applyFont="1" applyBorder="1" applyAlignment="1">
      <alignment horizontal="right" wrapText="1"/>
    </xf>
    <xf numFmtId="176" fontId="36" fillId="0" borderId="24" xfId="0" applyNumberFormat="1" applyFont="1" applyBorder="1" applyAlignment="1">
      <alignment horizontal="right" vertical="center" wrapText="1"/>
    </xf>
    <xf numFmtId="176" fontId="38" fillId="12" borderId="9" xfId="0" applyNumberFormat="1" applyFont="1" applyFill="1" applyBorder="1" applyAlignment="1">
      <alignment horizontal="right"/>
    </xf>
    <xf numFmtId="0" fontId="37" fillId="13" borderId="9" xfId="0" applyFont="1" applyFill="1" applyBorder="1" applyAlignment="1">
      <alignment horizontal="right" wrapText="1"/>
    </xf>
    <xf numFmtId="176" fontId="38" fillId="13" borderId="9" xfId="0" applyNumberFormat="1" applyFont="1" applyFill="1" applyBorder="1" applyAlignment="1">
      <alignment horizontal="right"/>
    </xf>
    <xf numFmtId="176" fontId="38" fillId="13" borderId="9" xfId="0" applyNumberFormat="1" applyFont="1" applyFill="1" applyBorder="1"/>
    <xf numFmtId="0" fontId="23" fillId="13" borderId="0" xfId="0" applyFont="1" applyFill="1"/>
    <xf numFmtId="1" fontId="38" fillId="0" borderId="0" xfId="0" applyNumberFormat="1" applyFont="1" applyBorder="1"/>
    <xf numFmtId="0" fontId="23" fillId="0" borderId="9" xfId="0" applyFont="1" applyFill="1" applyBorder="1" applyAlignment="1">
      <alignment horizontal="right"/>
    </xf>
    <xf numFmtId="172" fontId="38" fillId="0" borderId="9" xfId="0" applyNumberFormat="1" applyFont="1" applyBorder="1"/>
    <xf numFmtId="0" fontId="23" fillId="0" borderId="9" xfId="0" applyFont="1" applyBorder="1" applyAlignment="1">
      <alignment horizontal="right"/>
    </xf>
    <xf numFmtId="1" fontId="23" fillId="0" borderId="9" xfId="0" applyNumberFormat="1" applyFont="1" applyBorder="1"/>
    <xf numFmtId="0" fontId="24" fillId="0" borderId="9" xfId="4" applyFont="1" applyBorder="1" applyAlignment="1"/>
    <xf numFmtId="0" fontId="23" fillId="0" borderId="9" xfId="4" applyFont="1" applyBorder="1" applyAlignment="1"/>
    <xf numFmtId="0" fontId="23" fillId="0" borderId="9" xfId="4" applyFont="1" applyBorder="1" applyAlignment="1">
      <alignment horizontal="center"/>
    </xf>
    <xf numFmtId="0" fontId="24" fillId="3" borderId="9" xfId="4" applyFont="1" applyFill="1" applyBorder="1" applyAlignment="1"/>
    <xf numFmtId="0" fontId="24" fillId="3" borderId="9" xfId="4" applyFont="1" applyFill="1" applyBorder="1" applyAlignment="1">
      <alignment horizontal="center"/>
    </xf>
    <xf numFmtId="0" fontId="23" fillId="0" borderId="18" xfId="4" applyFont="1" applyBorder="1" applyAlignment="1">
      <alignment horizontal="center"/>
    </xf>
    <xf numFmtId="0" fontId="38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38" fillId="7" borderId="0" xfId="0" applyFont="1" applyFill="1"/>
    <xf numFmtId="0" fontId="37" fillId="7" borderId="0" xfId="0" applyFont="1" applyFill="1"/>
    <xf numFmtId="0" fontId="38" fillId="3" borderId="0" xfId="0" applyFont="1" applyFill="1"/>
    <xf numFmtId="178" fontId="37" fillId="0" borderId="9" xfId="0" applyNumberFormat="1" applyFont="1" applyBorder="1" applyAlignment="1">
      <alignment horizontal="right"/>
    </xf>
    <xf numFmtId="179" fontId="38" fillId="0" borderId="9" xfId="0" applyNumberFormat="1" applyFont="1" applyBorder="1" applyAlignment="1"/>
    <xf numFmtId="176" fontId="39" fillId="0" borderId="9" xfId="0" applyNumberFormat="1" applyFont="1" applyBorder="1" applyAlignment="1">
      <alignment wrapText="1"/>
    </xf>
    <xf numFmtId="0" fontId="37" fillId="14" borderId="0" xfId="0" applyFont="1" applyFill="1"/>
    <xf numFmtId="179" fontId="38" fillId="0" borderId="9" xfId="0" applyNumberFormat="1" applyFont="1" applyBorder="1"/>
    <xf numFmtId="178" fontId="38" fillId="0" borderId="9" xfId="0" applyNumberFormat="1" applyFont="1" applyBorder="1" applyAlignment="1">
      <alignment horizontal="right"/>
    </xf>
    <xf numFmtId="164" fontId="38" fillId="0" borderId="0" xfId="0" applyNumberFormat="1" applyFont="1" applyBorder="1"/>
    <xf numFmtId="0" fontId="37" fillId="8" borderId="0" xfId="0" applyFont="1" applyFill="1"/>
    <xf numFmtId="0" fontId="23" fillId="8" borderId="0" xfId="0" applyFont="1" applyFill="1"/>
    <xf numFmtId="172" fontId="23" fillId="8" borderId="0" xfId="0" applyNumberFormat="1" applyFont="1" applyFill="1" applyAlignment="1">
      <alignment horizontal="right"/>
    </xf>
    <xf numFmtId="164" fontId="38" fillId="0" borderId="9" xfId="0" applyNumberFormat="1" applyFont="1" applyBorder="1"/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1" fontId="24" fillId="0" borderId="27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/>
    <xf numFmtId="164" fontId="23" fillId="0" borderId="13" xfId="0" applyNumberFormat="1" applyFont="1" applyBorder="1"/>
    <xf numFmtId="177" fontId="23" fillId="0" borderId="9" xfId="0" applyNumberFormat="1" applyFont="1" applyBorder="1"/>
    <xf numFmtId="176" fontId="33" fillId="0" borderId="0" xfId="0" applyNumberFormat="1" applyFont="1" applyBorder="1" applyAlignment="1">
      <alignment wrapText="1"/>
    </xf>
    <xf numFmtId="176" fontId="39" fillId="0" borderId="9" xfId="0" applyNumberFormat="1" applyFont="1" applyBorder="1" applyAlignment="1">
      <alignment horizontal="center" vertical="center" wrapText="1"/>
    </xf>
    <xf numFmtId="182" fontId="38" fillId="0" borderId="24" xfId="0" applyNumberFormat="1" applyFont="1" applyBorder="1" applyAlignment="1">
      <alignment wrapText="1"/>
    </xf>
    <xf numFmtId="176" fontId="39" fillId="0" borderId="24" xfId="0" applyNumberFormat="1" applyFont="1" applyBorder="1" applyAlignment="1">
      <alignment horizontal="right" vertical="center" wrapText="1"/>
    </xf>
    <xf numFmtId="177" fontId="38" fillId="0" borderId="9" xfId="0" applyNumberFormat="1" applyFont="1" applyBorder="1" applyAlignment="1">
      <alignment horizontal="right"/>
    </xf>
    <xf numFmtId="0" fontId="38" fillId="0" borderId="9" xfId="0" applyNumberFormat="1" applyFont="1" applyBorder="1" applyAlignment="1">
      <alignment horizontal="right"/>
    </xf>
    <xf numFmtId="0" fontId="38" fillId="0" borderId="9" xfId="0" applyNumberFormat="1" applyFont="1" applyBorder="1"/>
    <xf numFmtId="0" fontId="23" fillId="0" borderId="9" xfId="0" applyNumberFormat="1" applyFont="1" applyBorder="1"/>
    <xf numFmtId="0" fontId="24" fillId="0" borderId="0" xfId="4" applyFont="1"/>
    <xf numFmtId="0" fontId="23" fillId="0" borderId="0" xfId="4" applyFont="1"/>
    <xf numFmtId="0" fontId="23" fillId="0" borderId="0" xfId="4" applyFont="1" applyBorder="1"/>
    <xf numFmtId="0" fontId="23" fillId="0" borderId="0" xfId="4" applyFont="1" applyBorder="1" applyAlignment="1">
      <alignment horizontal="center"/>
    </xf>
    <xf numFmtId="0" fontId="23" fillId="0" borderId="0" xfId="4" applyFont="1" applyBorder="1" applyAlignment="1"/>
    <xf numFmtId="0" fontId="43" fillId="12" borderId="34" xfId="5" applyFont="1" applyFill="1" applyBorder="1"/>
    <xf numFmtId="164" fontId="38" fillId="0" borderId="9" xfId="0" applyNumberFormat="1" applyFont="1" applyBorder="1" applyAlignment="1">
      <alignment wrapText="1"/>
    </xf>
    <xf numFmtId="0" fontId="23" fillId="0" borderId="26" xfId="0" applyFont="1" applyBorder="1"/>
    <xf numFmtId="164" fontId="23" fillId="0" borderId="16" xfId="0" applyNumberFormat="1" applyFont="1" applyBorder="1"/>
    <xf numFmtId="164" fontId="25" fillId="0" borderId="0" xfId="0" applyNumberFormat="1" applyFont="1"/>
    <xf numFmtId="0" fontId="24" fillId="0" borderId="2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0" fontId="23" fillId="0" borderId="0" xfId="0" applyNumberFormat="1" applyFont="1"/>
    <xf numFmtId="176" fontId="23" fillId="0" borderId="21" xfId="0" applyNumberFormat="1" applyFont="1" applyBorder="1"/>
    <xf numFmtId="164" fontId="40" fillId="0" borderId="0" xfId="0" applyNumberFormat="1" applyFont="1"/>
    <xf numFmtId="1" fontId="23" fillId="3" borderId="9" xfId="2" applyNumberFormat="1" applyFont="1" applyFill="1" applyBorder="1" applyAlignment="1" applyProtection="1">
      <alignment horizontal="right" wrapText="1"/>
    </xf>
    <xf numFmtId="164" fontId="23" fillId="0" borderId="9" xfId="0" applyNumberFormat="1" applyFont="1" applyBorder="1"/>
    <xf numFmtId="164" fontId="23" fillId="0" borderId="21" xfId="2" applyNumberFormat="1" applyFont="1" applyBorder="1" applyAlignment="1" applyProtection="1">
      <alignment wrapText="1"/>
    </xf>
    <xf numFmtId="167" fontId="23" fillId="0" borderId="21" xfId="2" applyNumberFormat="1" applyFont="1" applyBorder="1" applyAlignment="1" applyProtection="1">
      <alignment wrapText="1"/>
    </xf>
    <xf numFmtId="167" fontId="23" fillId="0" borderId="21" xfId="0" applyNumberFormat="1" applyFont="1" applyBorder="1"/>
    <xf numFmtId="165" fontId="23" fillId="0" borderId="9" xfId="0" applyNumberFormat="1" applyFont="1" applyBorder="1" applyAlignment="1">
      <alignment wrapText="1"/>
    </xf>
    <xf numFmtId="176" fontId="23" fillId="0" borderId="27" xfId="0" applyNumberFormat="1" applyFont="1" applyBorder="1"/>
    <xf numFmtId="167" fontId="23" fillId="0" borderId="27" xfId="0" applyNumberFormat="1" applyFont="1" applyBorder="1"/>
    <xf numFmtId="165" fontId="23" fillId="0" borderId="18" xfId="0" applyNumberFormat="1" applyFont="1" applyBorder="1" applyAlignment="1">
      <alignment wrapText="1"/>
    </xf>
    <xf numFmtId="167" fontId="23" fillId="0" borderId="16" xfId="0" applyNumberFormat="1" applyFont="1" applyBorder="1"/>
    <xf numFmtId="165" fontId="33" fillId="0" borderId="26" xfId="0" applyNumberFormat="1" applyFont="1" applyBorder="1" applyAlignment="1">
      <alignment wrapText="1"/>
    </xf>
    <xf numFmtId="165" fontId="33" fillId="0" borderId="0" xfId="0" applyNumberFormat="1" applyFont="1" applyBorder="1" applyAlignment="1">
      <alignment wrapText="1"/>
    </xf>
    <xf numFmtId="167" fontId="33" fillId="0" borderId="20" xfId="0" applyNumberFormat="1" applyFont="1" applyBorder="1"/>
    <xf numFmtId="165" fontId="23" fillId="0" borderId="26" xfId="0" applyNumberFormat="1" applyFont="1" applyBorder="1" applyAlignment="1">
      <alignment wrapText="1"/>
    </xf>
    <xf numFmtId="165" fontId="23" fillId="0" borderId="0" xfId="0" applyNumberFormat="1" applyFont="1" applyBorder="1" applyAlignment="1">
      <alignment wrapText="1"/>
    </xf>
    <xf numFmtId="174" fontId="23" fillId="0" borderId="0" xfId="0" applyNumberFormat="1" applyFont="1" applyBorder="1"/>
    <xf numFmtId="1" fontId="23" fillId="0" borderId="0" xfId="0" applyNumberFormat="1" applyFont="1" applyBorder="1"/>
    <xf numFmtId="167" fontId="23" fillId="0" borderId="0" xfId="0" applyNumberFormat="1" applyFont="1" applyBorder="1"/>
    <xf numFmtId="167" fontId="23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176" fontId="44" fillId="16" borderId="16" xfId="0" applyNumberFormat="1" applyFont="1" applyFill="1" applyBorder="1"/>
    <xf numFmtId="176" fontId="44" fillId="15" borderId="9" xfId="0" applyNumberFormat="1" applyFont="1" applyFill="1" applyBorder="1"/>
    <xf numFmtId="164" fontId="23" fillId="0" borderId="0" xfId="0" applyNumberFormat="1" applyFont="1" applyFill="1" applyBorder="1"/>
    <xf numFmtId="176" fontId="44" fillId="15" borderId="16" xfId="0" applyNumberFormat="1" applyFont="1" applyFill="1" applyBorder="1"/>
    <xf numFmtId="0" fontId="44" fillId="10" borderId="18" xfId="0" applyFont="1" applyFill="1" applyBorder="1"/>
    <xf numFmtId="176" fontId="44" fillId="15" borderId="0" xfId="2" applyNumberFormat="1" applyFont="1" applyFill="1" applyBorder="1" applyAlignment="1" applyProtection="1">
      <alignment wrapText="1"/>
    </xf>
    <xf numFmtId="176" fontId="44" fillId="15" borderId="18" xfId="2" applyNumberFormat="1" applyFont="1" applyFill="1" applyBorder="1" applyAlignment="1" applyProtection="1">
      <alignment wrapText="1"/>
    </xf>
    <xf numFmtId="176" fontId="44" fillId="15" borderId="13" xfId="2" applyNumberFormat="1" applyFont="1" applyFill="1" applyBorder="1" applyAlignment="1" applyProtection="1">
      <alignment wrapText="1"/>
    </xf>
    <xf numFmtId="164" fontId="44" fillId="3" borderId="21" xfId="2" applyNumberFormat="1" applyFont="1" applyFill="1" applyBorder="1" applyAlignment="1" applyProtection="1">
      <alignment wrapText="1"/>
    </xf>
    <xf numFmtId="176" fontId="44" fillId="15" borderId="14" xfId="2" applyNumberFormat="1" applyFont="1" applyFill="1" applyBorder="1" applyAlignment="1" applyProtection="1">
      <alignment wrapText="1"/>
    </xf>
    <xf numFmtId="176" fontId="44" fillId="10" borderId="21" xfId="2" applyNumberFormat="1" applyFont="1" applyFill="1" applyBorder="1" applyAlignment="1" applyProtection="1">
      <alignment wrapText="1"/>
    </xf>
    <xf numFmtId="176" fontId="44" fillId="3" borderId="9" xfId="0" applyNumberFormat="1" applyFont="1" applyFill="1" applyBorder="1"/>
    <xf numFmtId="164" fontId="44" fillId="0" borderId="9" xfId="0" applyNumberFormat="1" applyFont="1" applyBorder="1" applyAlignment="1">
      <alignment wrapText="1"/>
    </xf>
    <xf numFmtId="176" fontId="44" fillId="3" borderId="22" xfId="2" applyNumberFormat="1" applyFont="1" applyFill="1" applyBorder="1" applyAlignment="1" applyProtection="1">
      <alignment wrapText="1"/>
    </xf>
    <xf numFmtId="176" fontId="44" fillId="3" borderId="22" xfId="0" applyNumberFormat="1" applyFont="1" applyFill="1" applyBorder="1"/>
    <xf numFmtId="176" fontId="44" fillId="0" borderId="16" xfId="0" applyNumberFormat="1" applyFont="1" applyBorder="1"/>
    <xf numFmtId="164" fontId="44" fillId="0" borderId="18" xfId="0" applyNumberFormat="1" applyFont="1" applyBorder="1" applyAlignment="1">
      <alignment wrapText="1"/>
    </xf>
    <xf numFmtId="164" fontId="44" fillId="3" borderId="0" xfId="0" applyNumberFormat="1" applyFont="1" applyFill="1" applyBorder="1"/>
    <xf numFmtId="164" fontId="44" fillId="3" borderId="0" xfId="2" applyNumberFormat="1" applyFont="1" applyFill="1" applyBorder="1" applyAlignment="1" applyProtection="1">
      <alignment wrapText="1"/>
    </xf>
    <xf numFmtId="164" fontId="49" fillId="0" borderId="20" xfId="0" applyNumberFormat="1" applyFont="1" applyBorder="1" applyAlignment="1">
      <alignment wrapText="1"/>
    </xf>
    <xf numFmtId="176" fontId="49" fillId="3" borderId="0" xfId="0" applyNumberFormat="1" applyFont="1" applyFill="1"/>
    <xf numFmtId="176" fontId="44" fillId="10" borderId="21" xfId="0" applyNumberFormat="1" applyFont="1" applyFill="1" applyBorder="1"/>
    <xf numFmtId="172" fontId="44" fillId="10" borderId="9" xfId="2" applyNumberFormat="1" applyFont="1" applyFill="1" applyBorder="1" applyProtection="1"/>
    <xf numFmtId="176" fontId="44" fillId="0" borderId="9" xfId="0" applyNumberFormat="1" applyFont="1" applyBorder="1"/>
    <xf numFmtId="176" fontId="44" fillId="10" borderId="14" xfId="2" applyNumberFormat="1" applyFont="1" applyFill="1" applyBorder="1" applyAlignment="1" applyProtection="1">
      <alignment wrapText="1"/>
    </xf>
    <xf numFmtId="176" fontId="44" fillId="10" borderId="0" xfId="2" applyNumberFormat="1" applyFont="1" applyFill="1" applyBorder="1" applyAlignment="1" applyProtection="1">
      <alignment wrapText="1"/>
    </xf>
    <xf numFmtId="165" fontId="44" fillId="0" borderId="0" xfId="0" applyNumberFormat="1" applyFont="1" applyBorder="1"/>
    <xf numFmtId="176" fontId="44" fillId="10" borderId="26" xfId="2" applyNumberFormat="1" applyFont="1" applyFill="1" applyBorder="1" applyAlignment="1" applyProtection="1">
      <alignment wrapText="1"/>
    </xf>
    <xf numFmtId="177" fontId="44" fillId="0" borderId="22" xfId="0" applyNumberFormat="1" applyFont="1" applyBorder="1"/>
    <xf numFmtId="177" fontId="44" fillId="0" borderId="16" xfId="0" applyNumberFormat="1" applyFont="1" applyBorder="1"/>
    <xf numFmtId="164" fontId="44" fillId="0" borderId="22" xfId="0" applyNumberFormat="1" applyFont="1" applyBorder="1"/>
    <xf numFmtId="176" fontId="44" fillId="0" borderId="17" xfId="0" applyNumberFormat="1" applyFont="1" applyBorder="1"/>
    <xf numFmtId="164" fontId="50" fillId="0" borderId="20" xfId="0" applyNumberFormat="1" applyFont="1" applyBorder="1" applyAlignment="1">
      <alignment wrapText="1"/>
    </xf>
    <xf numFmtId="177" fontId="51" fillId="0" borderId="20" xfId="2" applyNumberFormat="1" applyFont="1" applyBorder="1" applyAlignment="1" applyProtection="1">
      <alignment wrapText="1"/>
    </xf>
    <xf numFmtId="177" fontId="51" fillId="0" borderId="0" xfId="0" applyNumberFormat="1" applyFont="1"/>
    <xf numFmtId="177" fontId="50" fillId="0" borderId="0" xfId="2" applyNumberFormat="1" applyFont="1" applyBorder="1" applyProtection="1"/>
    <xf numFmtId="164" fontId="50" fillId="0" borderId="0" xfId="2" applyNumberFormat="1" applyFont="1" applyBorder="1" applyProtection="1"/>
    <xf numFmtId="176" fontId="51" fillId="0" borderId="20" xfId="2" applyNumberFormat="1" applyFont="1" applyBorder="1" applyAlignment="1" applyProtection="1">
      <alignment wrapText="1"/>
    </xf>
    <xf numFmtId="176" fontId="50" fillId="0" borderId="0" xfId="2" applyNumberFormat="1" applyFont="1" applyBorder="1" applyProtection="1"/>
    <xf numFmtId="176" fontId="44" fillId="3" borderId="16" xfId="0" applyNumberFormat="1" applyFont="1" applyFill="1" applyBorder="1"/>
    <xf numFmtId="172" fontId="44" fillId="10" borderId="16" xfId="2" applyNumberFormat="1" applyFont="1" applyFill="1" applyBorder="1" applyProtection="1"/>
    <xf numFmtId="0" fontId="52" fillId="0" borderId="9" xfId="0" applyFont="1" applyBorder="1"/>
    <xf numFmtId="0" fontId="44" fillId="0" borderId="9" xfId="0" applyFont="1" applyBorder="1"/>
    <xf numFmtId="172" fontId="52" fillId="0" borderId="9" xfId="0" applyNumberFormat="1" applyFont="1" applyBorder="1"/>
    <xf numFmtId="172" fontId="52" fillId="0" borderId="9" xfId="0" applyNumberFormat="1" applyFont="1" applyBorder="1" applyAlignment="1"/>
    <xf numFmtId="172" fontId="52" fillId="0" borderId="9" xfId="0" quotePrefix="1" applyNumberFormat="1" applyFont="1" applyBorder="1" applyAlignment="1"/>
    <xf numFmtId="176" fontId="44" fillId="3" borderId="0" xfId="0" applyNumberFormat="1" applyFont="1" applyFill="1" applyBorder="1"/>
    <xf numFmtId="176" fontId="44" fillId="3" borderId="0" xfId="2" applyNumberFormat="1" applyFont="1" applyFill="1" applyBorder="1" applyAlignment="1" applyProtection="1">
      <alignment wrapText="1"/>
    </xf>
    <xf numFmtId="176" fontId="50" fillId="3" borderId="0" xfId="0" applyNumberFormat="1" applyFont="1" applyFill="1"/>
    <xf numFmtId="176" fontId="50" fillId="0" borderId="0" xfId="0" applyNumberFormat="1" applyFont="1" applyBorder="1" applyAlignment="1">
      <alignment wrapText="1"/>
    </xf>
    <xf numFmtId="176" fontId="44" fillId="0" borderId="22" xfId="0" applyNumberFormat="1" applyFont="1" applyBorder="1"/>
    <xf numFmtId="176" fontId="44" fillId="0" borderId="23" xfId="0" applyNumberFormat="1" applyFont="1" applyBorder="1"/>
    <xf numFmtId="176" fontId="44" fillId="0" borderId="13" xfId="0" applyNumberFormat="1" applyFont="1" applyBorder="1"/>
    <xf numFmtId="164" fontId="44" fillId="0" borderId="14" xfId="0" applyNumberFormat="1" applyFont="1" applyBorder="1" applyAlignment="1">
      <alignment wrapText="1"/>
    </xf>
    <xf numFmtId="176" fontId="44" fillId="0" borderId="15" xfId="0" applyNumberFormat="1" applyFont="1" applyBorder="1"/>
    <xf numFmtId="176" fontId="50" fillId="0" borderId="0" xfId="0" applyNumberFormat="1" applyFont="1" applyBorder="1"/>
    <xf numFmtId="176" fontId="44" fillId="0" borderId="0" xfId="0" applyNumberFormat="1" applyFont="1" applyBorder="1"/>
    <xf numFmtId="0" fontId="45" fillId="0" borderId="0" xfId="0" applyFont="1"/>
    <xf numFmtId="176" fontId="44" fillId="0" borderId="0" xfId="0" applyNumberFormat="1" applyFont="1"/>
    <xf numFmtId="176" fontId="44" fillId="3" borderId="9" xfId="2" applyNumberFormat="1" applyFont="1" applyFill="1" applyBorder="1" applyAlignment="1" applyProtection="1">
      <alignment wrapText="1"/>
    </xf>
    <xf numFmtId="0" fontId="44" fillId="3" borderId="17" xfId="0" applyFont="1" applyFill="1" applyBorder="1" applyAlignment="1">
      <alignment horizontal="center" wrapText="1"/>
    </xf>
    <xf numFmtId="164" fontId="45" fillId="3" borderId="9" xfId="0" applyNumberFormat="1" applyFont="1" applyFill="1" applyBorder="1"/>
    <xf numFmtId="164" fontId="54" fillId="3" borderId="0" xfId="0" applyNumberFormat="1" applyFont="1" applyFill="1" applyBorder="1"/>
    <xf numFmtId="176" fontId="50" fillId="3" borderId="0" xfId="0" applyNumberFormat="1" applyFont="1" applyFill="1" applyBorder="1"/>
    <xf numFmtId="176" fontId="50" fillId="3" borderId="0" xfId="2" applyNumberFormat="1" applyFont="1" applyFill="1" applyBorder="1" applyAlignment="1" applyProtection="1">
      <alignment wrapText="1"/>
    </xf>
    <xf numFmtId="0" fontId="30" fillId="10" borderId="9" xfId="3" applyFont="1" applyFill="1" applyBorder="1" applyAlignment="1" applyProtection="1">
      <alignment horizontal="center" vertical="center" wrapText="1"/>
    </xf>
    <xf numFmtId="0" fontId="56" fillId="0" borderId="9" xfId="0" applyFont="1" applyBorder="1"/>
    <xf numFmtId="176" fontId="56" fillId="0" borderId="9" xfId="0" applyNumberFormat="1" applyFont="1" applyBorder="1"/>
    <xf numFmtId="176" fontId="56" fillId="3" borderId="9" xfId="2" applyNumberFormat="1" applyFont="1" applyFill="1" applyBorder="1" applyAlignment="1" applyProtection="1">
      <alignment wrapText="1"/>
    </xf>
    <xf numFmtId="176" fontId="56" fillId="0" borderId="9" xfId="2" applyNumberFormat="1" applyFont="1" applyBorder="1" applyAlignment="1" applyProtection="1">
      <alignment wrapText="1"/>
    </xf>
    <xf numFmtId="0" fontId="56" fillId="0" borderId="0" xfId="0" applyFont="1"/>
    <xf numFmtId="165" fontId="56" fillId="0" borderId="0" xfId="2" applyNumberFormat="1" applyFont="1" applyBorder="1" applyProtection="1"/>
    <xf numFmtId="176" fontId="55" fillId="0" borderId="9" xfId="0" applyNumberFormat="1" applyFont="1" applyBorder="1"/>
    <xf numFmtId="5" fontId="32" fillId="0" borderId="0" xfId="0" applyNumberFormat="1" applyFont="1" applyBorder="1" applyAlignment="1">
      <alignment wrapText="1"/>
    </xf>
    <xf numFmtId="5" fontId="57" fillId="0" borderId="0" xfId="0" applyNumberFormat="1" applyFont="1" applyBorder="1" applyAlignment="1">
      <alignment wrapText="1"/>
    </xf>
    <xf numFmtId="176" fontId="57" fillId="0" borderId="0" xfId="0" applyNumberFormat="1" applyFont="1" applyFill="1" applyBorder="1"/>
    <xf numFmtId="172" fontId="39" fillId="10" borderId="9" xfId="0" applyNumberFormat="1" applyFont="1" applyFill="1" applyBorder="1" applyAlignment="1">
      <alignment horizontal="right" wrapText="1"/>
    </xf>
    <xf numFmtId="0" fontId="23" fillId="0" borderId="9" xfId="0" applyFont="1" applyBorder="1"/>
    <xf numFmtId="176" fontId="58" fillId="17" borderId="37" xfId="0" applyNumberFormat="1" applyFont="1" applyFill="1" applyBorder="1" applyAlignment="1">
      <alignment wrapText="1"/>
    </xf>
    <xf numFmtId="164" fontId="59" fillId="0" borderId="9" xfId="0" applyNumberFormat="1" applyFont="1" applyBorder="1" applyAlignment="1">
      <alignment horizontal="center" vertical="center"/>
    </xf>
    <xf numFmtId="171" fontId="59" fillId="0" borderId="9" xfId="0" applyNumberFormat="1" applyFont="1" applyBorder="1" applyAlignment="1">
      <alignment horizontal="center" vertical="center" wrapText="1"/>
    </xf>
    <xf numFmtId="0" fontId="60" fillId="0" borderId="9" xfId="0" applyFont="1" applyBorder="1"/>
    <xf numFmtId="176" fontId="60" fillId="0" borderId="9" xfId="2" applyNumberFormat="1" applyFont="1" applyBorder="1" applyAlignment="1" applyProtection="1">
      <alignment wrapText="1"/>
    </xf>
    <xf numFmtId="176" fontId="60" fillId="0" borderId="9" xfId="0" applyNumberFormat="1" applyFont="1" applyBorder="1"/>
    <xf numFmtId="164" fontId="60" fillId="0" borderId="9" xfId="0" applyNumberFormat="1" applyFont="1" applyBorder="1"/>
    <xf numFmtId="176" fontId="59" fillId="0" borderId="9" xfId="0" applyNumberFormat="1" applyFont="1" applyBorder="1"/>
    <xf numFmtId="164" fontId="61" fillId="0" borderId="0" xfId="0" applyNumberFormat="1" applyFont="1" applyAlignment="1">
      <alignment wrapText="1"/>
    </xf>
    <xf numFmtId="176" fontId="61" fillId="0" borderId="0" xfId="0" applyNumberFormat="1" applyFont="1"/>
    <xf numFmtId="0" fontId="61" fillId="0" borderId="0" xfId="0" applyFont="1"/>
    <xf numFmtId="176" fontId="61" fillId="0" borderId="0" xfId="0" applyNumberFormat="1" applyFont="1" applyAlignment="1">
      <alignment wrapText="1"/>
    </xf>
    <xf numFmtId="164" fontId="60" fillId="0" borderId="0" xfId="0" applyNumberFormat="1" applyFont="1" applyAlignment="1">
      <alignment wrapText="1"/>
    </xf>
    <xf numFmtId="0" fontId="60" fillId="0" borderId="0" xfId="0" applyFont="1"/>
    <xf numFmtId="0" fontId="0" fillId="0" borderId="0" xfId="0" quotePrefix="1" applyAlignment="1">
      <alignment wrapText="1"/>
    </xf>
    <xf numFmtId="176" fontId="28" fillId="0" borderId="9" xfId="2" applyNumberFormat="1" applyFont="1" applyBorder="1" applyAlignment="1" applyProtection="1">
      <alignment wrapText="1"/>
    </xf>
    <xf numFmtId="167" fontId="28" fillId="19" borderId="9" xfId="0" applyNumberFormat="1" applyFont="1" applyFill="1" applyBorder="1"/>
    <xf numFmtId="176" fontId="23" fillId="0" borderId="21" xfId="0" applyNumberFormat="1" applyFont="1" applyFill="1" applyBorder="1"/>
    <xf numFmtId="0" fontId="44" fillId="0" borderId="7" xfId="0" applyFont="1" applyFill="1" applyBorder="1"/>
    <xf numFmtId="164" fontId="44" fillId="0" borderId="21" xfId="2" applyNumberFormat="1" applyFont="1" applyFill="1" applyBorder="1" applyAlignment="1" applyProtection="1">
      <alignment wrapText="1"/>
    </xf>
    <xf numFmtId="167" fontId="44" fillId="0" borderId="21" xfId="0" applyNumberFormat="1" applyFont="1" applyFill="1" applyBorder="1"/>
    <xf numFmtId="164" fontId="44" fillId="0" borderId="21" xfId="0" applyNumberFormat="1" applyFont="1" applyFill="1" applyBorder="1"/>
    <xf numFmtId="176" fontId="44" fillId="0" borderId="21" xfId="2" applyNumberFormat="1" applyFont="1" applyFill="1" applyBorder="1" applyAlignment="1" applyProtection="1">
      <alignment wrapText="1"/>
    </xf>
    <xf numFmtId="176" fontId="44" fillId="0" borderId="21" xfId="0" applyNumberFormat="1" applyFont="1" applyFill="1" applyBorder="1"/>
    <xf numFmtId="165" fontId="44" fillId="0" borderId="14" xfId="0" applyNumberFormat="1" applyFont="1" applyFill="1" applyBorder="1" applyAlignment="1">
      <alignment wrapText="1"/>
    </xf>
    <xf numFmtId="164" fontId="44" fillId="0" borderId="16" xfId="0" applyNumberFormat="1" applyFont="1" applyFill="1" applyBorder="1"/>
    <xf numFmtId="167" fontId="44" fillId="0" borderId="16" xfId="0" applyNumberFormat="1" applyFont="1" applyFill="1" applyBorder="1"/>
    <xf numFmtId="167" fontId="44" fillId="0" borderId="9" xfId="0" applyNumberFormat="1" applyFont="1" applyFill="1" applyBorder="1"/>
    <xf numFmtId="176" fontId="44" fillId="0" borderId="16" xfId="0" applyNumberFormat="1" applyFont="1" applyFill="1" applyBorder="1"/>
    <xf numFmtId="176" fontId="44" fillId="0" borderId="9" xfId="0" applyNumberFormat="1" applyFont="1" applyFill="1" applyBorder="1"/>
    <xf numFmtId="165" fontId="50" fillId="0" borderId="26" xfId="0" applyNumberFormat="1" applyFont="1" applyFill="1" applyBorder="1" applyAlignment="1">
      <alignment wrapText="1"/>
    </xf>
    <xf numFmtId="167" fontId="50" fillId="0" borderId="20" xfId="0" applyNumberFormat="1" applyFont="1" applyFill="1" applyBorder="1"/>
    <xf numFmtId="164" fontId="50" fillId="0" borderId="0" xfId="0" applyNumberFormat="1" applyFont="1" applyFill="1"/>
    <xf numFmtId="164" fontId="33" fillId="0" borderId="0" xfId="0" applyNumberFormat="1" applyFont="1" applyFill="1"/>
    <xf numFmtId="164" fontId="23" fillId="0" borderId="0" xfId="0" applyNumberFormat="1" applyFont="1" applyFill="1"/>
    <xf numFmtId="1" fontId="23" fillId="0" borderId="0" xfId="2" applyNumberFormat="1" applyFont="1" applyFill="1" applyBorder="1" applyProtection="1"/>
    <xf numFmtId="167" fontId="23" fillId="0" borderId="0" xfId="0" applyNumberFormat="1" applyFont="1" applyFill="1"/>
    <xf numFmtId="172" fontId="44" fillId="0" borderId="9" xfId="2" applyNumberFormat="1" applyFont="1" applyFill="1" applyBorder="1" applyProtection="1"/>
    <xf numFmtId="0" fontId="48" fillId="0" borderId="0" xfId="0" applyFont="1" applyFill="1"/>
    <xf numFmtId="164" fontId="24" fillId="0" borderId="38" xfId="0" applyNumberFormat="1" applyFont="1" applyFill="1" applyBorder="1" applyAlignment="1">
      <alignment horizontal="center" vertical="center"/>
    </xf>
    <xf numFmtId="176" fontId="23" fillId="0" borderId="39" xfId="2" applyNumberFormat="1" applyFont="1" applyFill="1" applyBorder="1" applyAlignment="1" applyProtection="1">
      <alignment wrapText="1"/>
    </xf>
    <xf numFmtId="176" fontId="44" fillId="0" borderId="39" xfId="2" applyNumberFormat="1" applyFont="1" applyFill="1" applyBorder="1" applyAlignment="1" applyProtection="1">
      <alignment wrapText="1"/>
    </xf>
    <xf numFmtId="176" fontId="44" fillId="0" borderId="40" xfId="0" applyNumberFormat="1" applyFont="1" applyFill="1" applyBorder="1"/>
    <xf numFmtId="176" fontId="23" fillId="21" borderId="21" xfId="0" applyNumberFormat="1" applyFont="1" applyFill="1" applyBorder="1"/>
    <xf numFmtId="176" fontId="23" fillId="21" borderId="39" xfId="2" applyNumberFormat="1" applyFont="1" applyFill="1" applyBorder="1" applyAlignment="1" applyProtection="1">
      <alignment wrapText="1"/>
    </xf>
    <xf numFmtId="176" fontId="57" fillId="0" borderId="0" xfId="0" applyNumberFormat="1" applyFont="1" applyFill="1" applyBorder="1" applyAlignment="1">
      <alignment wrapText="1"/>
    </xf>
    <xf numFmtId="176" fontId="63" fillId="0" borderId="9" xfId="2" applyNumberFormat="1" applyFont="1" applyBorder="1" applyAlignment="1" applyProtection="1">
      <alignment wrapText="1"/>
    </xf>
    <xf numFmtId="0" fontId="64" fillId="0" borderId="9" xfId="0" applyFont="1" applyBorder="1" applyAlignment="1">
      <alignment horizontal="center" vertical="center"/>
    </xf>
    <xf numFmtId="176" fontId="44" fillId="20" borderId="16" xfId="0" applyNumberFormat="1" applyFont="1" applyFill="1" applyBorder="1"/>
    <xf numFmtId="176" fontId="44" fillId="20" borderId="9" xfId="0" applyNumberFormat="1" applyFont="1" applyFill="1" applyBorder="1"/>
    <xf numFmtId="176" fontId="55" fillId="20" borderId="9" xfId="0" applyNumberFormat="1" applyFont="1" applyFill="1" applyBorder="1" applyAlignment="1">
      <alignment wrapText="1"/>
    </xf>
    <xf numFmtId="176" fontId="63" fillId="3" borderId="9" xfId="2" applyNumberFormat="1" applyFont="1" applyFill="1" applyBorder="1" applyAlignment="1" applyProtection="1">
      <alignment wrapText="1"/>
    </xf>
    <xf numFmtId="172" fontId="37" fillId="0" borderId="9" xfId="0" applyNumberFormat="1" applyFont="1" applyFill="1" applyBorder="1" applyAlignment="1">
      <alignment wrapText="1"/>
    </xf>
    <xf numFmtId="176" fontId="38" fillId="0" borderId="9" xfId="0" applyNumberFormat="1" applyFont="1" applyFill="1" applyBorder="1" applyAlignment="1">
      <alignment wrapText="1"/>
    </xf>
    <xf numFmtId="0" fontId="37" fillId="0" borderId="9" xfId="0" applyFont="1" applyFill="1" applyBorder="1" applyAlignment="1">
      <alignment wrapText="1"/>
    </xf>
    <xf numFmtId="176" fontId="38" fillId="0" borderId="24" xfId="0" applyNumberFormat="1" applyFont="1" applyFill="1" applyBorder="1" applyAlignment="1">
      <alignment wrapText="1"/>
    </xf>
    <xf numFmtId="172" fontId="23" fillId="0" borderId="9" xfId="2" applyNumberFormat="1" applyFont="1" applyFill="1" applyBorder="1"/>
    <xf numFmtId="176" fontId="38" fillId="0" borderId="9" xfId="0" applyNumberFormat="1" applyFont="1" applyFill="1" applyBorder="1" applyAlignment="1">
      <alignment horizontal="right"/>
    </xf>
    <xf numFmtId="176" fontId="24" fillId="0" borderId="9" xfId="0" applyNumberFormat="1" applyFont="1" applyFill="1" applyBorder="1" applyAlignment="1">
      <alignment horizontal="center" vertical="center" wrapText="1"/>
    </xf>
    <xf numFmtId="176" fontId="23" fillId="0" borderId="9" xfId="0" applyNumberFormat="1" applyFont="1" applyFill="1" applyBorder="1" applyAlignment="1">
      <alignment horizontal="center" vertical="center" wrapText="1"/>
    </xf>
    <xf numFmtId="164" fontId="23" fillId="0" borderId="18" xfId="0" applyNumberFormat="1" applyFont="1" applyFill="1" applyBorder="1" applyAlignment="1">
      <alignment wrapText="1"/>
    </xf>
    <xf numFmtId="0" fontId="36" fillId="0" borderId="0" xfId="0" applyFont="1" applyFill="1"/>
    <xf numFmtId="166" fontId="23" fillId="0" borderId="0" xfId="2" applyNumberFormat="1" applyFont="1" applyFill="1" applyBorder="1" applyProtection="1"/>
    <xf numFmtId="0" fontId="44" fillId="0" borderId="18" xfId="0" applyFont="1" applyFill="1" applyBorder="1"/>
    <xf numFmtId="166" fontId="44" fillId="0" borderId="14" xfId="2" applyNumberFormat="1" applyFont="1" applyFill="1" applyBorder="1" applyAlignment="1" applyProtection="1">
      <alignment wrapText="1"/>
    </xf>
    <xf numFmtId="176" fontId="44" fillId="0" borderId="18" xfId="2" applyNumberFormat="1" applyFont="1" applyFill="1" applyBorder="1" applyAlignment="1" applyProtection="1">
      <alignment wrapText="1"/>
    </xf>
    <xf numFmtId="176" fontId="44" fillId="0" borderId="13" xfId="2" applyNumberFormat="1" applyFont="1" applyFill="1" applyBorder="1" applyAlignment="1" applyProtection="1">
      <alignment wrapText="1"/>
    </xf>
    <xf numFmtId="0" fontId="24" fillId="0" borderId="0" xfId="0" applyFont="1" applyFill="1" applyBorder="1"/>
    <xf numFmtId="0" fontId="37" fillId="0" borderId="17" xfId="0" applyFont="1" applyBorder="1" applyAlignment="1">
      <alignment wrapText="1"/>
    </xf>
    <xf numFmtId="177" fontId="38" fillId="3" borderId="41" xfId="0" applyNumberFormat="1" applyFont="1" applyFill="1" applyBorder="1"/>
    <xf numFmtId="176" fontId="23" fillId="3" borderId="27" xfId="0" applyNumberFormat="1" applyFont="1" applyFill="1" applyBorder="1" applyAlignment="1">
      <alignment horizontal="right" vertical="center" wrapText="1"/>
    </xf>
    <xf numFmtId="0" fontId="37" fillId="23" borderId="25" xfId="0" applyFont="1" applyFill="1" applyBorder="1" applyAlignment="1">
      <alignment wrapText="1"/>
    </xf>
    <xf numFmtId="0" fontId="37" fillId="23" borderId="20" xfId="0" applyFont="1" applyFill="1" applyBorder="1" applyAlignment="1">
      <alignment wrapText="1"/>
    </xf>
    <xf numFmtId="1" fontId="24" fillId="23" borderId="20" xfId="0" applyNumberFormat="1" applyFont="1" applyFill="1" applyBorder="1" applyAlignment="1">
      <alignment horizontal="center" vertical="center" wrapText="1"/>
    </xf>
    <xf numFmtId="1" fontId="24" fillId="23" borderId="27" xfId="0" applyNumberFormat="1" applyFont="1" applyFill="1" applyBorder="1" applyAlignment="1">
      <alignment horizontal="center" vertical="center" wrapText="1"/>
    </xf>
    <xf numFmtId="164" fontId="44" fillId="0" borderId="17" xfId="0" applyNumberFormat="1" applyFont="1" applyFill="1" applyBorder="1" applyAlignment="1">
      <alignment horizontal="left" wrapText="1"/>
    </xf>
    <xf numFmtId="164" fontId="44" fillId="0" borderId="16" xfId="0" applyNumberFormat="1" applyFont="1" applyFill="1" applyBorder="1" applyAlignment="1">
      <alignment horizontal="left" wrapText="1"/>
    </xf>
    <xf numFmtId="177" fontId="44" fillId="0" borderId="9" xfId="0" applyNumberFormat="1" applyFont="1" applyFill="1" applyBorder="1"/>
    <xf numFmtId="176" fontId="44" fillId="3" borderId="41" xfId="0" applyNumberFormat="1" applyFont="1" applyFill="1" applyBorder="1"/>
    <xf numFmtId="176" fontId="44" fillId="3" borderId="41" xfId="2" applyNumberFormat="1" applyFont="1" applyFill="1" applyBorder="1" applyAlignment="1" applyProtection="1">
      <alignment wrapText="1"/>
    </xf>
    <xf numFmtId="164" fontId="44" fillId="0" borderId="26" xfId="0" applyNumberFormat="1" applyFont="1" applyBorder="1" applyAlignment="1">
      <alignment wrapText="1"/>
    </xf>
    <xf numFmtId="176" fontId="44" fillId="3" borderId="20" xfId="2" applyNumberFormat="1" applyFont="1" applyFill="1" applyBorder="1" applyAlignment="1" applyProtection="1">
      <alignment wrapText="1"/>
    </xf>
    <xf numFmtId="176" fontId="44" fillId="3" borderId="24" xfId="0" applyNumberFormat="1" applyFont="1" applyFill="1" applyBorder="1"/>
    <xf numFmtId="164" fontId="25" fillId="0" borderId="0" xfId="0" applyNumberFormat="1" applyFont="1" applyFill="1"/>
    <xf numFmtId="176" fontId="44" fillId="21" borderId="39" xfId="2" applyNumberFormat="1" applyFont="1" applyFill="1" applyBorder="1" applyAlignment="1" applyProtection="1">
      <alignment wrapText="1"/>
    </xf>
    <xf numFmtId="176" fontId="44" fillId="21" borderId="21" xfId="0" applyNumberFormat="1" applyFont="1" applyFill="1" applyBorder="1"/>
    <xf numFmtId="176" fontId="23" fillId="21" borderId="0" xfId="0" applyNumberFormat="1" applyFont="1" applyFill="1" applyBorder="1"/>
    <xf numFmtId="176" fontId="44" fillId="21" borderId="0" xfId="0" applyNumberFormat="1" applyFont="1" applyFill="1" applyBorder="1"/>
    <xf numFmtId="171" fontId="24" fillId="0" borderId="21" xfId="0" applyNumberFormat="1" applyFont="1" applyFill="1" applyBorder="1" applyAlignment="1">
      <alignment horizontal="center" vertical="center" wrapText="1"/>
    </xf>
    <xf numFmtId="176" fontId="23" fillId="0" borderId="42" xfId="2" applyNumberFormat="1" applyFont="1" applyFill="1" applyBorder="1" applyAlignment="1" applyProtection="1">
      <alignment wrapText="1"/>
    </xf>
    <xf numFmtId="176" fontId="23" fillId="0" borderId="37" xfId="2" applyNumberFormat="1" applyFont="1" applyFill="1" applyBorder="1" applyAlignment="1" applyProtection="1">
      <alignment wrapText="1"/>
    </xf>
    <xf numFmtId="176" fontId="23" fillId="21" borderId="37" xfId="0" applyNumberFormat="1" applyFont="1" applyFill="1" applyBorder="1"/>
    <xf numFmtId="176" fontId="44" fillId="21" borderId="43" xfId="0" applyNumberFormat="1" applyFont="1" applyFill="1" applyBorder="1"/>
    <xf numFmtId="176" fontId="44" fillId="0" borderId="0" xfId="2" applyNumberFormat="1" applyFont="1" applyFill="1" applyBorder="1" applyAlignment="1" applyProtection="1">
      <alignment wrapText="1"/>
    </xf>
    <xf numFmtId="167" fontId="50" fillId="0" borderId="0" xfId="0" applyNumberFormat="1" applyFont="1" applyFill="1" applyBorder="1"/>
    <xf numFmtId="0" fontId="44" fillId="0" borderId="0" xfId="0" applyFont="1" applyFill="1"/>
    <xf numFmtId="176" fontId="38" fillId="0" borderId="9" xfId="0" applyNumberFormat="1" applyFont="1" applyFill="1" applyBorder="1"/>
    <xf numFmtId="176" fontId="23" fillId="0" borderId="9" xfId="0" applyNumberFormat="1" applyFont="1" applyFill="1" applyBorder="1" applyAlignment="1">
      <alignment horizontal="right" vertical="center" wrapText="1"/>
    </xf>
    <xf numFmtId="172" fontId="39" fillId="0" borderId="9" xfId="0" applyNumberFormat="1" applyFont="1" applyFill="1" applyBorder="1" applyAlignment="1">
      <alignment horizontal="right" wrapText="1"/>
    </xf>
    <xf numFmtId="0" fontId="37" fillId="0" borderId="9" xfId="0" applyFont="1" applyFill="1" applyBorder="1" applyAlignment="1">
      <alignment horizontal="right" wrapText="1"/>
    </xf>
    <xf numFmtId="176" fontId="55" fillId="20" borderId="9" xfId="0" applyNumberFormat="1" applyFont="1" applyFill="1" applyBorder="1"/>
    <xf numFmtId="164" fontId="49" fillId="0" borderId="0" xfId="0" applyNumberFormat="1" applyFont="1" applyBorder="1" applyAlignment="1">
      <alignment wrapText="1"/>
    </xf>
    <xf numFmtId="0" fontId="23" fillId="0" borderId="41" xfId="0" applyFont="1" applyBorder="1" applyAlignment="1">
      <alignment wrapText="1"/>
    </xf>
    <xf numFmtId="0" fontId="24" fillId="3" borderId="42" xfId="0" applyFont="1" applyFill="1" applyBorder="1" applyAlignment="1">
      <alignment horizontal="center" vertical="center" wrapText="1"/>
    </xf>
    <xf numFmtId="176" fontId="44" fillId="3" borderId="43" xfId="0" applyNumberFormat="1" applyFont="1" applyFill="1" applyBorder="1"/>
    <xf numFmtId="176" fontId="23" fillId="3" borderId="42" xfId="2" applyNumberFormat="1" applyFont="1" applyFill="1" applyBorder="1" applyAlignment="1" applyProtection="1">
      <alignment wrapText="1"/>
    </xf>
    <xf numFmtId="176" fontId="23" fillId="3" borderId="37" xfId="2" applyNumberFormat="1" applyFont="1" applyFill="1" applyBorder="1" applyAlignment="1" applyProtection="1">
      <alignment wrapText="1"/>
    </xf>
    <xf numFmtId="176" fontId="23" fillId="3" borderId="43" xfId="2" applyNumberFormat="1" applyFont="1" applyFill="1" applyBorder="1" applyAlignment="1" applyProtection="1">
      <alignment wrapText="1"/>
    </xf>
    <xf numFmtId="164" fontId="24" fillId="3" borderId="42" xfId="0" applyNumberFormat="1" applyFont="1" applyFill="1" applyBorder="1" applyAlignment="1">
      <alignment horizontal="center" vertical="center" wrapText="1"/>
    </xf>
    <xf numFmtId="0" fontId="44" fillId="0" borderId="26" xfId="0" applyFont="1" applyFill="1" applyBorder="1"/>
    <xf numFmtId="176" fontId="23" fillId="3" borderId="44" xfId="2" applyNumberFormat="1" applyFont="1" applyFill="1" applyBorder="1" applyAlignment="1" applyProtection="1">
      <alignment wrapText="1"/>
    </xf>
    <xf numFmtId="176" fontId="23" fillId="3" borderId="45" xfId="2" applyNumberFormat="1" applyFont="1" applyFill="1" applyBorder="1" applyAlignment="1" applyProtection="1">
      <alignment wrapText="1"/>
    </xf>
    <xf numFmtId="176" fontId="23" fillId="3" borderId="46" xfId="2" applyNumberFormat="1" applyFont="1" applyFill="1" applyBorder="1" applyAlignment="1" applyProtection="1">
      <alignment wrapText="1"/>
    </xf>
    <xf numFmtId="176" fontId="23" fillId="0" borderId="44" xfId="2" applyNumberFormat="1" applyFont="1" applyFill="1" applyBorder="1" applyAlignment="1" applyProtection="1">
      <alignment wrapText="1"/>
    </xf>
    <xf numFmtId="176" fontId="23" fillId="0" borderId="45" xfId="2" applyNumberFormat="1" applyFont="1" applyFill="1" applyBorder="1" applyAlignment="1" applyProtection="1">
      <alignment wrapText="1"/>
    </xf>
    <xf numFmtId="176" fontId="23" fillId="0" borderId="46" xfId="2" applyNumberFormat="1" applyFont="1" applyFill="1" applyBorder="1" applyAlignment="1" applyProtection="1">
      <alignment wrapText="1"/>
    </xf>
    <xf numFmtId="0" fontId="25" fillId="0" borderId="0" xfId="0" applyFont="1"/>
    <xf numFmtId="176" fontId="63" fillId="0" borderId="9" xfId="2" quotePrefix="1" applyNumberFormat="1" applyFont="1" applyBorder="1" applyAlignment="1" applyProtection="1">
      <alignment wrapText="1"/>
    </xf>
    <xf numFmtId="10" fontId="50" fillId="0" borderId="0" xfId="0" applyNumberFormat="1" applyFont="1" applyFill="1" applyBorder="1"/>
    <xf numFmtId="0" fontId="24" fillId="0" borderId="21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71" fontId="24" fillId="0" borderId="27" xfId="0" applyNumberFormat="1" applyFont="1" applyFill="1" applyBorder="1" applyAlignment="1">
      <alignment horizontal="center" vertical="center" wrapText="1"/>
    </xf>
    <xf numFmtId="176" fontId="23" fillId="0" borderId="13" xfId="2" applyNumberFormat="1" applyFont="1" applyFill="1" applyBorder="1" applyAlignment="1" applyProtection="1">
      <alignment wrapText="1"/>
    </xf>
    <xf numFmtId="0" fontId="37" fillId="0" borderId="17" xfId="0" applyFont="1" applyFill="1" applyBorder="1" applyAlignment="1">
      <alignment wrapText="1"/>
    </xf>
    <xf numFmtId="182" fontId="38" fillId="0" borderId="24" xfId="0" applyNumberFormat="1" applyFont="1" applyFill="1" applyBorder="1" applyAlignment="1">
      <alignment wrapText="1"/>
    </xf>
    <xf numFmtId="0" fontId="44" fillId="0" borderId="9" xfId="0" applyFont="1" applyFill="1" applyBorder="1"/>
    <xf numFmtId="172" fontId="44" fillId="0" borderId="0" xfId="0" applyNumberFormat="1" applyFont="1" applyFill="1" applyBorder="1"/>
    <xf numFmtId="1" fontId="23" fillId="0" borderId="9" xfId="2" applyNumberFormat="1" applyFont="1" applyFill="1" applyBorder="1" applyProtection="1"/>
    <xf numFmtId="0" fontId="17" fillId="0" borderId="0" xfId="0" applyFont="1" applyFill="1"/>
    <xf numFmtId="173" fontId="23" fillId="0" borderId="0" xfId="0" applyNumberFormat="1" applyFont="1" applyFill="1"/>
    <xf numFmtId="176" fontId="23" fillId="0" borderId="17" xfId="0" applyNumberFormat="1" applyFont="1" applyFill="1" applyBorder="1" applyAlignment="1">
      <alignment horizontal="left"/>
    </xf>
    <xf numFmtId="176" fontId="23" fillId="0" borderId="16" xfId="0" applyNumberFormat="1" applyFont="1" applyFill="1" applyBorder="1" applyAlignment="1">
      <alignment horizontal="left"/>
    </xf>
    <xf numFmtId="176" fontId="23" fillId="0" borderId="9" xfId="0" applyNumberFormat="1" applyFont="1" applyFill="1" applyBorder="1"/>
    <xf numFmtId="176" fontId="64" fillId="20" borderId="9" xfId="2" quotePrefix="1" applyNumberFormat="1" applyFont="1" applyFill="1" applyBorder="1" applyAlignment="1" applyProtection="1">
      <alignment wrapText="1"/>
    </xf>
    <xf numFmtId="176" fontId="23" fillId="0" borderId="0" xfId="0" applyNumberFormat="1" applyFont="1" applyFill="1"/>
    <xf numFmtId="175" fontId="30" fillId="0" borderId="9" xfId="3" applyNumberFormat="1" applyFont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right" wrapText="1"/>
    </xf>
    <xf numFmtId="0" fontId="24" fillId="0" borderId="24" xfId="0" applyFont="1" applyFill="1" applyBorder="1" applyAlignment="1">
      <alignment horizontal="left" vertical="center" wrapText="1"/>
    </xf>
    <xf numFmtId="0" fontId="38" fillId="0" borderId="9" xfId="0" applyFont="1" applyBorder="1" applyAlignment="1">
      <alignment horizontal="right"/>
    </xf>
    <xf numFmtId="0" fontId="59" fillId="0" borderId="9" xfId="0" applyFont="1" applyBorder="1" applyAlignment="1">
      <alignment horizontal="center" vertical="center"/>
    </xf>
    <xf numFmtId="176" fontId="56" fillId="0" borderId="9" xfId="2" applyNumberFormat="1" applyFont="1" applyFill="1" applyBorder="1" applyAlignment="1" applyProtection="1">
      <alignment wrapText="1"/>
    </xf>
    <xf numFmtId="0" fontId="67" fillId="24" borderId="9" xfId="7" applyFont="1" applyFill="1" applyBorder="1" applyAlignment="1" applyProtection="1">
      <alignment horizontal="center" vertical="center" wrapText="1"/>
    </xf>
    <xf numFmtId="175" fontId="67" fillId="25" borderId="9" xfId="7" applyNumberFormat="1" applyFont="1" applyFill="1" applyBorder="1" applyAlignment="1" applyProtection="1">
      <alignment horizontal="center" vertical="center"/>
    </xf>
    <xf numFmtId="0" fontId="67" fillId="25" borderId="9" xfId="7" applyFont="1" applyFill="1" applyBorder="1" applyAlignment="1">
      <alignment horizontal="center" vertical="center" wrapText="1"/>
    </xf>
    <xf numFmtId="0" fontId="67" fillId="20" borderId="9" xfId="7" applyFont="1" applyFill="1" applyBorder="1" applyAlignment="1">
      <alignment horizontal="center" vertical="center" wrapText="1"/>
    </xf>
    <xf numFmtId="0" fontId="45" fillId="0" borderId="22" xfId="0" applyFont="1" applyBorder="1" applyAlignment="1">
      <alignment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171" fontId="45" fillId="0" borderId="27" xfId="0" applyNumberFormat="1" applyFont="1" applyBorder="1" applyAlignment="1">
      <alignment horizontal="center" vertical="center" wrapText="1"/>
    </xf>
    <xf numFmtId="171" fontId="45" fillId="0" borderId="0" xfId="0" applyNumberFormat="1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4" fillId="0" borderId="18" xfId="0" applyFont="1" applyBorder="1"/>
    <xf numFmtId="176" fontId="44" fillId="0" borderId="18" xfId="2" applyNumberFormat="1" applyFont="1" applyBorder="1" applyAlignment="1" applyProtection="1">
      <alignment wrapText="1"/>
    </xf>
    <xf numFmtId="176" fontId="44" fillId="0" borderId="0" xfId="2" applyNumberFormat="1" applyFont="1" applyBorder="1" applyAlignment="1" applyProtection="1">
      <alignment wrapText="1"/>
    </xf>
    <xf numFmtId="176" fontId="44" fillId="0" borderId="21" xfId="2" applyNumberFormat="1" applyFont="1" applyBorder="1" applyAlignment="1" applyProtection="1">
      <alignment wrapText="1"/>
    </xf>
    <xf numFmtId="164" fontId="44" fillId="0" borderId="0" xfId="2" applyNumberFormat="1" applyFont="1" applyBorder="1" applyAlignment="1" applyProtection="1">
      <alignment wrapText="1"/>
    </xf>
    <xf numFmtId="176" fontId="44" fillId="0" borderId="26" xfId="2" applyNumberFormat="1" applyFont="1" applyBorder="1" applyAlignment="1" applyProtection="1">
      <alignment wrapText="1"/>
    </xf>
    <xf numFmtId="180" fontId="44" fillId="0" borderId="21" xfId="2" applyNumberFormat="1" applyFont="1" applyBorder="1" applyAlignment="1" applyProtection="1">
      <alignment wrapText="1"/>
    </xf>
    <xf numFmtId="176" fontId="44" fillId="0" borderId="21" xfId="0" applyNumberFormat="1" applyFont="1" applyBorder="1"/>
    <xf numFmtId="0" fontId="45" fillId="3" borderId="21" xfId="0" applyFont="1" applyFill="1" applyBorder="1" applyAlignment="1">
      <alignment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3" xfId="0" applyFont="1" applyBorder="1" applyAlignment="1">
      <alignment vertical="center" wrapText="1"/>
    </xf>
    <xf numFmtId="164" fontId="45" fillId="3" borderId="20" xfId="0" applyNumberFormat="1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171" fontId="45" fillId="0" borderId="21" xfId="0" applyNumberFormat="1" applyFont="1" applyBorder="1" applyAlignment="1">
      <alignment horizontal="center" vertical="center" wrapText="1"/>
    </xf>
    <xf numFmtId="176" fontId="44" fillId="3" borderId="18" xfId="2" applyNumberFormat="1" applyFont="1" applyFill="1" applyBorder="1" applyAlignment="1" applyProtection="1">
      <alignment wrapText="1"/>
    </xf>
    <xf numFmtId="176" fontId="44" fillId="3" borderId="21" xfId="2" applyNumberFormat="1" applyFont="1" applyFill="1" applyBorder="1" applyAlignment="1" applyProtection="1">
      <alignment wrapText="1"/>
    </xf>
    <xf numFmtId="164" fontId="44" fillId="3" borderId="18" xfId="0" applyNumberFormat="1" applyFont="1" applyFill="1" applyBorder="1"/>
    <xf numFmtId="164" fontId="44" fillId="3" borderId="0" xfId="0" applyNumberFormat="1" applyFont="1" applyFill="1"/>
    <xf numFmtId="164" fontId="44" fillId="3" borderId="23" xfId="0" applyNumberFormat="1" applyFont="1" applyFill="1" applyBorder="1"/>
    <xf numFmtId="0" fontId="44" fillId="3" borderId="0" xfId="0" applyFont="1" applyFill="1"/>
    <xf numFmtId="1" fontId="44" fillId="0" borderId="0" xfId="2" applyNumberFormat="1" applyFont="1" applyBorder="1" applyProtection="1"/>
    <xf numFmtId="0" fontId="44" fillId="0" borderId="0" xfId="0" applyFont="1"/>
    <xf numFmtId="0" fontId="44" fillId="0" borderId="0" xfId="0" applyFont="1" applyBorder="1" applyAlignment="1"/>
    <xf numFmtId="1" fontId="44" fillId="3" borderId="23" xfId="2" applyNumberFormat="1" applyFont="1" applyFill="1" applyBorder="1" applyAlignment="1" applyProtection="1">
      <alignment horizontal="left" wrapText="1"/>
    </xf>
    <xf numFmtId="0" fontId="45" fillId="0" borderId="0" xfId="0" applyFont="1" applyFill="1"/>
    <xf numFmtId="164" fontId="45" fillId="0" borderId="20" xfId="0" applyNumberFormat="1" applyFont="1" applyFill="1" applyBorder="1" applyAlignment="1">
      <alignment horizontal="center" vertical="center"/>
    </xf>
    <xf numFmtId="164" fontId="45" fillId="0" borderId="13" xfId="0" applyNumberFormat="1" applyFont="1" applyFill="1" applyBorder="1" applyAlignment="1">
      <alignment horizontal="center" vertical="center"/>
    </xf>
    <xf numFmtId="171" fontId="45" fillId="0" borderId="13" xfId="0" applyNumberFormat="1" applyFont="1" applyFill="1" applyBorder="1" applyAlignment="1">
      <alignment horizontal="center" vertical="center" wrapText="1"/>
    </xf>
    <xf numFmtId="164" fontId="45" fillId="0" borderId="38" xfId="0" applyNumberFormat="1" applyFont="1" applyFill="1" applyBorder="1" applyAlignment="1">
      <alignment horizontal="center" vertical="center"/>
    </xf>
    <xf numFmtId="165" fontId="44" fillId="0" borderId="3" xfId="0" applyNumberFormat="1" applyFont="1" applyFill="1" applyBorder="1" applyAlignment="1">
      <alignment wrapText="1"/>
    </xf>
    <xf numFmtId="167" fontId="44" fillId="0" borderId="21" xfId="2" applyNumberFormat="1" applyFont="1" applyFill="1" applyBorder="1" applyAlignment="1" applyProtection="1">
      <alignment wrapText="1"/>
    </xf>
    <xf numFmtId="164" fontId="44" fillId="0" borderId="0" xfId="0" applyNumberFormat="1" applyFont="1" applyFill="1" applyBorder="1"/>
    <xf numFmtId="0" fontId="44" fillId="0" borderId="3" xfId="0" applyFont="1" applyFill="1" applyBorder="1"/>
    <xf numFmtId="10" fontId="44" fillId="0" borderId="3" xfId="2" applyNumberFormat="1" applyFont="1" applyFill="1" applyBorder="1" applyAlignment="1" applyProtection="1">
      <alignment wrapText="1"/>
    </xf>
    <xf numFmtId="176" fontId="44" fillId="21" borderId="21" xfId="2" applyNumberFormat="1" applyFont="1" applyFill="1" applyBorder="1" applyAlignment="1" applyProtection="1">
      <alignment wrapText="1"/>
    </xf>
    <xf numFmtId="0" fontId="50" fillId="0" borderId="0" xfId="0" applyFont="1" applyFill="1"/>
    <xf numFmtId="164" fontId="44" fillId="0" borderId="0" xfId="0" applyNumberFormat="1" applyFont="1" applyFill="1"/>
    <xf numFmtId="1" fontId="44" fillId="0" borderId="0" xfId="2" applyNumberFormat="1" applyFont="1" applyFill="1" applyBorder="1" applyProtection="1"/>
    <xf numFmtId="167" fontId="44" fillId="0" borderId="0" xfId="0" applyNumberFormat="1" applyFont="1" applyFill="1"/>
    <xf numFmtId="1" fontId="44" fillId="0" borderId="0" xfId="2" applyNumberFormat="1" applyFont="1" applyFill="1" applyBorder="1" applyAlignment="1" applyProtection="1">
      <alignment horizontal="left" wrapText="1"/>
    </xf>
    <xf numFmtId="0" fontId="44" fillId="0" borderId="0" xfId="0" applyFont="1" applyFill="1" applyBorder="1"/>
    <xf numFmtId="1" fontId="44" fillId="0" borderId="16" xfId="2" applyNumberFormat="1" applyFont="1" applyFill="1" applyBorder="1" applyAlignment="1" applyProtection="1">
      <alignment horizontal="left" wrapText="1"/>
    </xf>
    <xf numFmtId="176" fontId="44" fillId="0" borderId="0" xfId="0" applyNumberFormat="1" applyFont="1" applyFill="1" applyBorder="1"/>
    <xf numFmtId="172" fontId="44" fillId="0" borderId="0" xfId="2" applyNumberFormat="1" applyFont="1" applyFill="1" applyBorder="1" applyProtection="1"/>
    <xf numFmtId="0" fontId="45" fillId="10" borderId="0" xfId="0" applyFont="1" applyFill="1"/>
    <xf numFmtId="0" fontId="44" fillId="10" borderId="0" xfId="0" applyFont="1" applyFill="1"/>
    <xf numFmtId="164" fontId="56" fillId="0" borderId="9" xfId="0" applyNumberFormat="1" applyFont="1" applyBorder="1"/>
    <xf numFmtId="176" fontId="55" fillId="0" borderId="9" xfId="2" applyNumberFormat="1" applyFont="1" applyBorder="1" applyAlignment="1" applyProtection="1">
      <alignment wrapText="1"/>
    </xf>
    <xf numFmtId="167" fontId="55" fillId="19" borderId="9" xfId="0" applyNumberFormat="1" applyFont="1" applyFill="1" applyBorder="1"/>
    <xf numFmtId="167" fontId="55" fillId="0" borderId="9" xfId="0" applyNumberFormat="1" applyFont="1" applyBorder="1"/>
    <xf numFmtId="164" fontId="57" fillId="0" borderId="0" xfId="0" applyNumberFormat="1" applyFont="1" applyBorder="1" applyAlignment="1">
      <alignment wrapText="1"/>
    </xf>
    <xf numFmtId="176" fontId="57" fillId="0" borderId="0" xfId="0" applyNumberFormat="1" applyFont="1" applyBorder="1"/>
    <xf numFmtId="0" fontId="44" fillId="0" borderId="0" xfId="0" quotePrefix="1" applyFont="1" applyAlignment="1">
      <alignment wrapText="1"/>
    </xf>
    <xf numFmtId="176" fontId="57" fillId="20" borderId="0" xfId="0" applyNumberFormat="1" applyFont="1" applyFill="1" applyBorder="1"/>
    <xf numFmtId="164" fontId="68" fillId="20" borderId="0" xfId="0" applyNumberFormat="1" applyFont="1" applyFill="1" applyBorder="1" applyAlignment="1">
      <alignment wrapText="1"/>
    </xf>
    <xf numFmtId="176" fontId="55" fillId="24" borderId="9" xfId="0" applyNumberFormat="1" applyFont="1" applyFill="1" applyBorder="1"/>
    <xf numFmtId="165" fontId="70" fillId="0" borderId="0" xfId="0" applyNumberFormat="1" applyFont="1" applyAlignment="1">
      <alignment wrapText="1"/>
    </xf>
    <xf numFmtId="0" fontId="66" fillId="0" borderId="0" xfId="0" applyFont="1" applyFill="1" applyAlignment="1">
      <alignment wrapText="1"/>
    </xf>
    <xf numFmtId="176" fontId="17" fillId="0" borderId="0" xfId="0" applyNumberFormat="1" applyFont="1" applyFill="1"/>
    <xf numFmtId="0" fontId="17" fillId="0" borderId="0" xfId="0" applyFont="1" applyFill="1" applyAlignment="1">
      <alignment wrapText="1"/>
    </xf>
    <xf numFmtId="164" fontId="23" fillId="0" borderId="23" xfId="0" applyNumberFormat="1" applyFont="1" applyFill="1" applyBorder="1"/>
    <xf numFmtId="164" fontId="23" fillId="0" borderId="21" xfId="0" applyNumberFormat="1" applyFont="1" applyFill="1" applyBorder="1" applyAlignment="1">
      <alignment wrapText="1"/>
    </xf>
    <xf numFmtId="176" fontId="50" fillId="0" borderId="0" xfId="0" applyNumberFormat="1" applyFont="1" applyFill="1" applyBorder="1" applyAlignment="1">
      <alignment wrapText="1"/>
    </xf>
    <xf numFmtId="1" fontId="71" fillId="0" borderId="0" xfId="2" applyNumberFormat="1" applyFont="1" applyFill="1" applyBorder="1" applyProtection="1"/>
    <xf numFmtId="166" fontId="19" fillId="0" borderId="21" xfId="2" applyNumberFormat="1" applyBorder="1" applyProtection="1"/>
    <xf numFmtId="176" fontId="1" fillId="3" borderId="21" xfId="2" applyNumberFormat="1" applyFont="1" applyFill="1" applyBorder="1" applyAlignment="1" applyProtection="1">
      <alignment wrapText="1"/>
    </xf>
    <xf numFmtId="176" fontId="1" fillId="0" borderId="21" xfId="2" applyNumberFormat="1" applyFont="1" applyFill="1" applyBorder="1" applyAlignment="1" applyProtection="1">
      <alignment wrapText="1"/>
    </xf>
    <xf numFmtId="176" fontId="1" fillId="0" borderId="13" xfId="2" applyNumberFormat="1" applyFont="1" applyFill="1" applyBorder="1" applyAlignment="1" applyProtection="1">
      <alignment wrapText="1"/>
    </xf>
    <xf numFmtId="176" fontId="1" fillId="3" borderId="16" xfId="0" applyNumberFormat="1" applyFont="1" applyFill="1" applyBorder="1"/>
    <xf numFmtId="164" fontId="1" fillId="0" borderId="21" xfId="2" applyNumberFormat="1" applyFont="1" applyBorder="1" applyAlignment="1" applyProtection="1">
      <alignment wrapText="1"/>
    </xf>
    <xf numFmtId="167" fontId="1" fillId="0" borderId="21" xfId="2" applyNumberFormat="1" applyFont="1" applyBorder="1" applyAlignment="1" applyProtection="1">
      <alignment wrapText="1"/>
    </xf>
    <xf numFmtId="176" fontId="1" fillId="0" borderId="21" xfId="2" applyNumberFormat="1" applyFont="1" applyBorder="1" applyAlignment="1" applyProtection="1">
      <alignment wrapText="1"/>
    </xf>
    <xf numFmtId="176" fontId="1" fillId="0" borderId="21" xfId="0" applyNumberFormat="1" applyFont="1" applyBorder="1"/>
    <xf numFmtId="176" fontId="1" fillId="0" borderId="27" xfId="0" applyNumberFormat="1" applyFont="1" applyBorder="1"/>
    <xf numFmtId="176" fontId="1" fillId="0" borderId="16" xfId="0" applyNumberFormat="1" applyFont="1" applyBorder="1"/>
    <xf numFmtId="0" fontId="23" fillId="3" borderId="17" xfId="0" applyNumberFormat="1" applyFont="1" applyFill="1" applyBorder="1"/>
    <xf numFmtId="164" fontId="23" fillId="3" borderId="23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8" fillId="24" borderId="9" xfId="3" applyFill="1" applyBorder="1" applyAlignment="1">
      <alignment vertical="center"/>
    </xf>
    <xf numFmtId="0" fontId="8" fillId="24" borderId="9" xfId="3" applyFill="1" applyBorder="1"/>
    <xf numFmtId="164" fontId="4" fillId="0" borderId="17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wrapText="1"/>
    </xf>
    <xf numFmtId="176" fontId="0" fillId="0" borderId="17" xfId="0" applyNumberFormat="1" applyFont="1" applyBorder="1" applyAlignment="1">
      <alignment wrapText="1"/>
    </xf>
    <xf numFmtId="176" fontId="4" fillId="0" borderId="17" xfId="0" applyNumberFormat="1" applyFont="1" applyBorder="1" applyAlignment="1">
      <alignment vertical="center" wrapText="1"/>
    </xf>
    <xf numFmtId="176" fontId="0" fillId="0" borderId="17" xfId="0" applyNumberFormat="1" applyFont="1" applyBorder="1" applyAlignment="1">
      <alignment horizontal="right" vertical="center" wrapText="1"/>
    </xf>
    <xf numFmtId="176" fontId="0" fillId="0" borderId="17" xfId="0" applyNumberFormat="1" applyFont="1" applyBorder="1" applyAlignment="1">
      <alignment horizontal="right" wrapText="1"/>
    </xf>
    <xf numFmtId="176" fontId="27" fillId="0" borderId="17" xfId="0" applyNumberFormat="1" applyFont="1" applyBorder="1" applyAlignment="1">
      <alignment horizontal="right" wrapText="1"/>
    </xf>
    <xf numFmtId="176" fontId="4" fillId="0" borderId="17" xfId="0" applyNumberFormat="1" applyFont="1" applyBorder="1" applyAlignment="1">
      <alignment wrapText="1"/>
    </xf>
    <xf numFmtId="176" fontId="4" fillId="0" borderId="47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wrapText="1"/>
    </xf>
    <xf numFmtId="0" fontId="8" fillId="11" borderId="9" xfId="3" applyFill="1" applyBorder="1"/>
    <xf numFmtId="0" fontId="0" fillId="11" borderId="0" xfId="0" applyFill="1"/>
    <xf numFmtId="0" fontId="0" fillId="24" borderId="0" xfId="0" quotePrefix="1" applyFill="1" applyAlignment="1">
      <alignment horizontal="right"/>
    </xf>
    <xf numFmtId="164" fontId="2" fillId="1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175" fontId="69" fillId="25" borderId="9" xfId="3" applyNumberFormat="1" applyFont="1" applyFill="1" applyBorder="1" applyAlignment="1" applyProtection="1">
      <alignment horizontal="center" vertical="center" wrapText="1"/>
    </xf>
    <xf numFmtId="175" fontId="69" fillId="24" borderId="9" xfId="3" applyNumberFormat="1" applyFont="1" applyFill="1" applyBorder="1" applyAlignment="1" applyProtection="1">
      <alignment horizontal="center" vertical="center" wrapText="1"/>
    </xf>
    <xf numFmtId="0" fontId="62" fillId="24" borderId="9" xfId="3" applyFont="1" applyFill="1" applyBorder="1" applyAlignment="1" applyProtection="1">
      <alignment horizontal="center" vertical="center" wrapText="1"/>
    </xf>
    <xf numFmtId="0" fontId="62" fillId="20" borderId="9" xfId="3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175" fontId="62" fillId="24" borderId="9" xfId="3" applyNumberFormat="1" applyFont="1" applyFill="1" applyBorder="1" applyAlignment="1" applyProtection="1">
      <alignment horizontal="center" vertical="center" wrapText="1"/>
    </xf>
    <xf numFmtId="175" fontId="69" fillId="24" borderId="9" xfId="3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5" fontId="0" fillId="0" borderId="26" xfId="0" applyNumberFormat="1" applyFont="1" applyBorder="1" applyAlignment="1">
      <alignment horizont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right" vertical="center" wrapText="1"/>
    </xf>
    <xf numFmtId="0" fontId="23" fillId="3" borderId="9" xfId="0" applyFont="1" applyFill="1" applyBorder="1" applyAlignment="1">
      <alignment horizontal="left"/>
    </xf>
    <xf numFmtId="0" fontId="37" fillId="0" borderId="21" xfId="0" applyFont="1" applyFill="1" applyBorder="1" applyAlignment="1">
      <alignment horizontal="right"/>
    </xf>
    <xf numFmtId="0" fontId="38" fillId="0" borderId="9" xfId="0" applyFont="1" applyFill="1" applyBorder="1" applyAlignment="1">
      <alignment horizontal="right"/>
    </xf>
    <xf numFmtId="0" fontId="37" fillId="0" borderId="9" xfId="0" applyFont="1" applyBorder="1" applyAlignment="1">
      <alignment horizontal="right"/>
    </xf>
    <xf numFmtId="0" fontId="39" fillId="0" borderId="9" xfId="0" applyFont="1" applyFill="1" applyBorder="1" applyAlignment="1">
      <alignment horizontal="right"/>
    </xf>
    <xf numFmtId="164" fontId="44" fillId="0" borderId="9" xfId="0" applyNumberFormat="1" applyFont="1" applyFill="1" applyBorder="1" applyAlignment="1">
      <alignment horizontal="left" wrapText="1"/>
    </xf>
    <xf numFmtId="0" fontId="23" fillId="3" borderId="9" xfId="0" applyFont="1" applyFill="1" applyBorder="1" applyAlignment="1">
      <alignment horizontal="center"/>
    </xf>
    <xf numFmtId="0" fontId="24" fillId="0" borderId="24" xfId="0" applyFont="1" applyBorder="1" applyAlignment="1">
      <alignment horizontal="left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3" fillId="0" borderId="17" xfId="0" applyFont="1" applyBorder="1" applyAlignment="1"/>
    <xf numFmtId="0" fontId="23" fillId="0" borderId="22" xfId="0" applyFont="1" applyBorder="1" applyAlignment="1"/>
    <xf numFmtId="0" fontId="23" fillId="0" borderId="16" xfId="0" applyFont="1" applyBorder="1" applyAlignment="1"/>
    <xf numFmtId="0" fontId="38" fillId="0" borderId="17" xfId="0" applyFont="1" applyBorder="1" applyAlignment="1">
      <alignment horizontal="right"/>
    </xf>
    <xf numFmtId="0" fontId="38" fillId="0" borderId="22" xfId="0" applyFont="1" applyBorder="1" applyAlignment="1">
      <alignment horizontal="right"/>
    </xf>
    <xf numFmtId="0" fontId="38" fillId="0" borderId="16" xfId="0" applyFont="1" applyBorder="1" applyAlignment="1">
      <alignment horizontal="right"/>
    </xf>
    <xf numFmtId="0" fontId="37" fillId="0" borderId="23" xfId="0" applyFont="1" applyBorder="1" applyAlignment="1">
      <alignment horizontal="right"/>
    </xf>
    <xf numFmtId="0" fontId="37" fillId="0" borderId="13" xfId="0" applyFont="1" applyBorder="1" applyAlignment="1">
      <alignment horizontal="right"/>
    </xf>
    <xf numFmtId="0" fontId="24" fillId="0" borderId="41" xfId="0" applyFont="1" applyBorder="1" applyAlignment="1">
      <alignment horizontal="center"/>
    </xf>
    <xf numFmtId="0" fontId="24" fillId="0" borderId="41" xfId="0" applyFont="1" applyBorder="1" applyAlignment="1">
      <alignment horizontal="center" wrapText="1"/>
    </xf>
    <xf numFmtId="0" fontId="45" fillId="0" borderId="24" xfId="0" applyFont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1" fontId="23" fillId="3" borderId="23" xfId="2" applyNumberFormat="1" applyFont="1" applyFill="1" applyBorder="1" applyAlignment="1" applyProtection="1">
      <alignment horizontal="center" wrapText="1"/>
    </xf>
    <xf numFmtId="0" fontId="44" fillId="3" borderId="17" xfId="0" applyFont="1" applyFill="1" applyBorder="1" applyAlignment="1">
      <alignment horizontal="center"/>
    </xf>
    <xf numFmtId="0" fontId="44" fillId="3" borderId="16" xfId="0" applyFont="1" applyFill="1" applyBorder="1" applyAlignment="1">
      <alignment horizontal="center"/>
    </xf>
    <xf numFmtId="0" fontId="44" fillId="15" borderId="17" xfId="0" applyFont="1" applyFill="1" applyBorder="1" applyAlignment="1">
      <alignment horizontal="center"/>
    </xf>
    <xf numFmtId="0" fontId="44" fillId="15" borderId="16" xfId="0" applyFont="1" applyFill="1" applyBorder="1" applyAlignment="1">
      <alignment horizontal="center"/>
    </xf>
    <xf numFmtId="0" fontId="45" fillId="15" borderId="16" xfId="0" applyFont="1" applyFill="1" applyBorder="1" applyAlignment="1">
      <alignment horizontal="center" vertical="center" wrapText="1"/>
    </xf>
    <xf numFmtId="1" fontId="44" fillId="3" borderId="23" xfId="2" applyNumberFormat="1" applyFont="1" applyFill="1" applyBorder="1" applyAlignment="1" applyProtection="1">
      <alignment horizontal="center" wrapText="1"/>
    </xf>
    <xf numFmtId="0" fontId="44" fillId="3" borderId="9" xfId="0" applyFont="1" applyFill="1" applyBorder="1" applyAlignment="1">
      <alignment horizontal="center" wrapText="1"/>
    </xf>
    <xf numFmtId="0" fontId="44" fillId="3" borderId="9" xfId="0" applyFont="1" applyFill="1" applyBorder="1" applyAlignment="1">
      <alignment horizontal="center"/>
    </xf>
    <xf numFmtId="0" fontId="45" fillId="3" borderId="14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 wrapText="1"/>
    </xf>
    <xf numFmtId="0" fontId="45" fillId="15" borderId="9" xfId="0" applyFont="1" applyFill="1" applyBorder="1" applyAlignment="1">
      <alignment horizontal="center" vertical="center" wrapText="1"/>
    </xf>
    <xf numFmtId="164" fontId="44" fillId="3" borderId="17" xfId="0" applyNumberFormat="1" applyFont="1" applyFill="1" applyBorder="1" applyAlignment="1">
      <alignment horizontal="center" wrapText="1"/>
    </xf>
    <xf numFmtId="164" fontId="44" fillId="3" borderId="16" xfId="0" applyNumberFormat="1" applyFont="1" applyFill="1" applyBorder="1" applyAlignment="1">
      <alignment horizontal="center" wrapText="1"/>
    </xf>
    <xf numFmtId="164" fontId="44" fillId="15" borderId="17" xfId="0" applyNumberFormat="1" applyFont="1" applyFill="1" applyBorder="1" applyAlignment="1">
      <alignment horizontal="center" wrapText="1"/>
    </xf>
    <xf numFmtId="164" fontId="44" fillId="15" borderId="16" xfId="0" applyNumberFormat="1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18" borderId="9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wrapText="1"/>
    </xf>
    <xf numFmtId="1" fontId="44" fillId="0" borderId="17" xfId="2" applyNumberFormat="1" applyFont="1" applyFill="1" applyBorder="1" applyAlignment="1" applyProtection="1">
      <alignment horizontal="center" wrapText="1"/>
    </xf>
    <xf numFmtId="1" fontId="44" fillId="0" borderId="22" xfId="2" applyNumberFormat="1" applyFont="1" applyFill="1" applyBorder="1" applyAlignment="1" applyProtection="1">
      <alignment horizontal="center" wrapText="1"/>
    </xf>
    <xf numFmtId="164" fontId="44" fillId="0" borderId="17" xfId="0" applyNumberFormat="1" applyFont="1" applyFill="1" applyBorder="1" applyAlignment="1">
      <alignment horizontal="center" wrapText="1"/>
    </xf>
    <xf numFmtId="164" fontId="44" fillId="0" borderId="16" xfId="0" applyNumberFormat="1" applyFont="1" applyFill="1" applyBorder="1" applyAlignment="1">
      <alignment horizontal="center" wrapText="1"/>
    </xf>
    <xf numFmtId="1" fontId="44" fillId="0" borderId="0" xfId="2" applyNumberFormat="1" applyFont="1" applyFill="1" applyBorder="1" applyAlignment="1" applyProtection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164" fontId="44" fillId="0" borderId="9" xfId="0" applyNumberFormat="1" applyFont="1" applyFill="1" applyBorder="1" applyAlignment="1">
      <alignment horizontal="right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" fontId="23" fillId="3" borderId="0" xfId="2" applyNumberFormat="1" applyFont="1" applyFill="1" applyBorder="1" applyAlignment="1" applyProtection="1">
      <alignment horizontal="center" wrapText="1"/>
    </xf>
    <xf numFmtId="164" fontId="38" fillId="0" borderId="9" xfId="0" applyNumberFormat="1" applyFont="1" applyBorder="1" applyAlignment="1">
      <alignment horizontal="right" wrapText="1"/>
    </xf>
    <xf numFmtId="0" fontId="37" fillId="12" borderId="9" xfId="0" applyFont="1" applyFill="1" applyBorder="1" applyAlignment="1">
      <alignment horizontal="right" wrapText="1"/>
    </xf>
    <xf numFmtId="0" fontId="37" fillId="0" borderId="9" xfId="0" applyFont="1" applyBorder="1" applyAlignment="1">
      <alignment horizontal="right" wrapText="1"/>
    </xf>
    <xf numFmtId="0" fontId="38" fillId="0" borderId="9" xfId="0" applyFont="1" applyBorder="1" applyAlignment="1">
      <alignment horizontal="right" wrapText="1"/>
    </xf>
    <xf numFmtId="0" fontId="23" fillId="3" borderId="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" fontId="23" fillId="0" borderId="9" xfId="2" applyNumberFormat="1" applyFont="1" applyFill="1" applyBorder="1" applyAlignment="1" applyProtection="1">
      <alignment horizontal="right" wrapText="1"/>
    </xf>
    <xf numFmtId="0" fontId="24" fillId="0" borderId="14" xfId="0" applyFont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right"/>
    </xf>
    <xf numFmtId="0" fontId="23" fillId="0" borderId="9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164" fontId="44" fillId="3" borderId="9" xfId="0" applyNumberFormat="1" applyFont="1" applyFill="1" applyBorder="1" applyAlignment="1">
      <alignment horizontal="right" wrapText="1"/>
    </xf>
    <xf numFmtId="1" fontId="23" fillId="3" borderId="9" xfId="2" applyNumberFormat="1" applyFont="1" applyFill="1" applyBorder="1" applyAlignment="1" applyProtection="1">
      <alignment horizontal="center" wrapText="1"/>
    </xf>
    <xf numFmtId="0" fontId="45" fillId="0" borderId="9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10" borderId="9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/>
    </xf>
    <xf numFmtId="0" fontId="27" fillId="0" borderId="0" xfId="0" applyFont="1"/>
    <xf numFmtId="0" fontId="72" fillId="26" borderId="9" xfId="0" applyFont="1" applyFill="1" applyBorder="1"/>
    <xf numFmtId="0" fontId="0" fillId="27" borderId="9" xfId="0" applyFill="1" applyBorder="1" applyAlignment="1">
      <alignment wrapText="1"/>
    </xf>
    <xf numFmtId="0" fontId="0" fillId="28" borderId="9" xfId="0" applyFill="1" applyBorder="1" applyAlignment="1">
      <alignment wrapText="1"/>
    </xf>
    <xf numFmtId="0" fontId="72" fillId="0" borderId="9" xfId="0" applyFont="1" applyFill="1" applyBorder="1"/>
    <xf numFmtId="176" fontId="73" fillId="0" borderId="9" xfId="0" applyNumberFormat="1" applyFont="1" applyFill="1" applyBorder="1"/>
    <xf numFmtId="0" fontId="27" fillId="0" borderId="9" xfId="0" applyFont="1" applyFill="1" applyBorder="1" applyAlignment="1">
      <alignment wrapText="1"/>
    </xf>
    <xf numFmtId="0" fontId="74" fillId="0" borderId="9" xfId="0" applyFont="1" applyFill="1" applyBorder="1"/>
    <xf numFmtId="176" fontId="74" fillId="0" borderId="9" xfId="0" applyNumberFormat="1" applyFont="1" applyFill="1" applyBorder="1"/>
    <xf numFmtId="176" fontId="63" fillId="29" borderId="9" xfId="2" applyNumberFormat="1" applyFont="1" applyFill="1" applyBorder="1" applyAlignment="1" applyProtection="1">
      <alignment wrapText="1"/>
    </xf>
    <xf numFmtId="0" fontId="75" fillId="0" borderId="9" xfId="0" applyFont="1" applyFill="1" applyBorder="1"/>
    <xf numFmtId="0" fontId="75" fillId="0" borderId="0" xfId="0" applyFont="1" applyFill="1" applyBorder="1"/>
    <xf numFmtId="0" fontId="76" fillId="0" borderId="9" xfId="0" applyFont="1" applyFill="1" applyBorder="1" applyAlignment="1">
      <alignment horizontal="left" vertical="center" wrapText="1"/>
    </xf>
    <xf numFmtId="176" fontId="63" fillId="30" borderId="9" xfId="2" applyNumberFormat="1" applyFont="1" applyFill="1" applyBorder="1" applyAlignment="1" applyProtection="1">
      <alignment wrapText="1"/>
    </xf>
    <xf numFmtId="0" fontId="1" fillId="0" borderId="0" xfId="0" applyFont="1" applyBorder="1" applyAlignment="1">
      <alignment vertical="center" wrapText="1"/>
    </xf>
    <xf numFmtId="176" fontId="8" fillId="0" borderId="21" xfId="3" applyNumberFormat="1" applyBorder="1" applyAlignment="1">
      <alignment vertical="center"/>
    </xf>
    <xf numFmtId="176" fontId="0" fillId="0" borderId="18" xfId="0" applyNumberFormat="1" applyFont="1" applyBorder="1" applyAlignment="1">
      <alignment wrapText="1"/>
    </xf>
    <xf numFmtId="176" fontId="0" fillId="0" borderId="26" xfId="0" applyNumberFormat="1" applyFont="1" applyBorder="1" applyAlignment="1">
      <alignment wrapText="1"/>
    </xf>
  </cellXfs>
  <cellStyles count="8">
    <cellStyle name="Hyperlink" xfId="7"/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Pourcentage 2" xfId="6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1</xdr:col>
      <xdr:colOff>1250762</xdr:colOff>
      <xdr:row>5</xdr:row>
      <xdr:rowOff>130735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756" y="0"/>
          <a:ext cx="888998" cy="10832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LS47"/>
  <sheetViews>
    <sheetView tabSelected="1" topLeftCell="C1" zoomScale="90" zoomScaleNormal="90" workbookViewId="0">
      <selection activeCell="L36" sqref="L36"/>
    </sheetView>
  </sheetViews>
  <sheetFormatPr baseColWidth="10" defaultColWidth="9.140625" defaultRowHeight="15" x14ac:dyDescent="0.25"/>
  <cols>
    <col min="1" max="1" width="9" style="25" customWidth="1"/>
    <col min="2" max="2" width="47.5703125" customWidth="1"/>
    <col min="3" max="3" width="50.85546875" style="1" customWidth="1"/>
    <col min="4" max="4" width="20.85546875" style="180" customWidth="1"/>
    <col min="5" max="5" width="17.7109375" style="180" customWidth="1"/>
    <col min="6" max="6" width="17.5703125" style="201" customWidth="1"/>
    <col min="7" max="7" width="18.7109375" style="2" customWidth="1"/>
    <col min="8" max="8" width="17.85546875" style="2" customWidth="1"/>
    <col min="9" max="9" width="1.140625" style="2" customWidth="1"/>
    <col min="10" max="10" width="22.28515625" style="145" customWidth="1"/>
    <col min="11" max="11" width="9.140625" style="4"/>
    <col min="12" max="12" width="20.28515625" style="5" customWidth="1"/>
    <col min="13" max="13" width="9.140625" style="5"/>
    <col min="14" max="14" width="9.140625" style="6"/>
    <col min="15" max="15" width="9.140625" style="1"/>
    <col min="16" max="16" width="9.140625" style="3"/>
    <col min="17" max="17" width="9.140625" style="7"/>
    <col min="18" max="1007" width="9.140625" style="1"/>
  </cols>
  <sheetData>
    <row r="1" spans="1:1007" x14ac:dyDescent="0.25">
      <c r="B1" s="25"/>
      <c r="C1" s="25"/>
      <c r="D1" s="152"/>
      <c r="E1" s="152"/>
      <c r="F1" s="819" t="s">
        <v>495</v>
      </c>
      <c r="G1" s="819"/>
      <c r="H1" s="819"/>
      <c r="I1" s="819"/>
      <c r="J1" s="141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</row>
    <row r="2" spans="1:1007" s="25" customFormat="1" x14ac:dyDescent="0.25">
      <c r="C2" s="688"/>
      <c r="D2" s="152"/>
      <c r="E2" s="152"/>
      <c r="F2" s="188"/>
      <c r="J2" s="141"/>
    </row>
    <row r="3" spans="1:1007" s="25" customFormat="1" x14ac:dyDescent="0.25">
      <c r="D3" s="152"/>
      <c r="E3" s="152"/>
      <c r="F3" s="188"/>
      <c r="J3" s="141"/>
    </row>
    <row r="4" spans="1:1007" x14ac:dyDescent="0.25">
      <c r="B4" s="25"/>
      <c r="C4" s="25"/>
      <c r="D4" s="152"/>
      <c r="E4" s="15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</row>
    <row r="5" spans="1:1007" s="10" customFormat="1" x14ac:dyDescent="0.25">
      <c r="C5" s="11"/>
      <c r="D5" s="181"/>
      <c r="E5" s="181"/>
      <c r="F5" s="189"/>
      <c r="J5" s="145"/>
      <c r="K5" s="13"/>
      <c r="L5" s="14"/>
      <c r="M5" s="14"/>
      <c r="N5" s="15"/>
      <c r="P5" s="12"/>
      <c r="Q5" s="16"/>
    </row>
    <row r="6" spans="1:1007" x14ac:dyDescent="0.25">
      <c r="B6" s="25"/>
      <c r="C6" s="823" t="s">
        <v>0</v>
      </c>
      <c r="D6" s="823"/>
      <c r="E6" s="823"/>
      <c r="F6" s="823"/>
      <c r="G6" s="823"/>
      <c r="H6" s="823"/>
      <c r="I6" s="823"/>
      <c r="J6" s="58"/>
      <c r="K6" s="13"/>
      <c r="L6" s="14"/>
      <c r="M6" s="14"/>
      <c r="N6" s="15"/>
      <c r="O6" s="25"/>
      <c r="P6" s="12"/>
      <c r="Q6" s="16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</row>
    <row r="7" spans="1:1007" ht="44.25" customHeight="1" x14ac:dyDescent="0.25">
      <c r="B7" s="162" t="s">
        <v>1</v>
      </c>
      <c r="C7" s="824" t="s">
        <v>447</v>
      </c>
      <c r="D7" s="824"/>
      <c r="E7" s="824"/>
      <c r="F7" s="824"/>
      <c r="G7" s="824"/>
      <c r="H7" s="825"/>
      <c r="I7" s="812"/>
      <c r="J7" s="478" t="s">
        <v>464</v>
      </c>
      <c r="K7" s="13"/>
      <c r="L7" s="14"/>
      <c r="M7" s="14"/>
      <c r="N7" s="15"/>
      <c r="O7" s="25"/>
      <c r="P7" s="12"/>
      <c r="Q7" s="16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</row>
    <row r="8" spans="1:1007" ht="42.75" customHeight="1" x14ac:dyDescent="0.25">
      <c r="B8" s="156"/>
      <c r="C8" s="51" t="s">
        <v>2</v>
      </c>
      <c r="D8" s="142" t="s">
        <v>3</v>
      </c>
      <c r="E8" s="142" t="s">
        <v>459</v>
      </c>
      <c r="F8" s="190" t="s">
        <v>4</v>
      </c>
      <c r="G8" s="142" t="s">
        <v>5</v>
      </c>
      <c r="H8" s="803" t="s">
        <v>461</v>
      </c>
      <c r="I8" s="173"/>
      <c r="J8" s="142" t="s">
        <v>5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</row>
    <row r="9" spans="1:1007" ht="15" customHeight="1" x14ac:dyDescent="0.25">
      <c r="A9" s="177" t="s">
        <v>7</v>
      </c>
      <c r="B9" s="799" t="s">
        <v>8</v>
      </c>
      <c r="C9" s="801" t="s">
        <v>9</v>
      </c>
      <c r="D9" s="182">
        <f>570000</f>
        <v>570000</v>
      </c>
      <c r="E9" s="182">
        <f>'COUT PAR IP DES OUTILS'!C27</f>
        <v>603157.04637020116</v>
      </c>
      <c r="F9" s="191">
        <v>430400</v>
      </c>
      <c r="G9" s="167">
        <f>E9-H9</f>
        <v>466860.99227670056</v>
      </c>
      <c r="H9" s="804">
        <f>'COUT PAR IP DES OUTILS'!C26</f>
        <v>136296.05409350057</v>
      </c>
      <c r="I9" s="170"/>
      <c r="J9" s="14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</row>
    <row r="10" spans="1:1007" ht="13.5" customHeight="1" x14ac:dyDescent="0.25">
      <c r="A10" s="177" t="s">
        <v>7</v>
      </c>
      <c r="B10" s="799" t="s">
        <v>8</v>
      </c>
      <c r="C10" s="801" t="s">
        <v>10</v>
      </c>
      <c r="D10" s="182">
        <v>36000</v>
      </c>
      <c r="E10" s="182">
        <f>'COUT PAR IP DES OUTILS'!D27</f>
        <v>38897.561763587983</v>
      </c>
      <c r="F10" s="191">
        <v>26640</v>
      </c>
      <c r="G10" s="167">
        <f t="shared" ref="G10:G14" si="0">E10-H10</f>
        <v>28784.195705055106</v>
      </c>
      <c r="H10" s="804">
        <f>'COUT PAR IP DES OUTILS'!D26</f>
        <v>10113.366058532878</v>
      </c>
      <c r="I10" s="170"/>
      <c r="J10" s="14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</row>
    <row r="11" spans="1:1007" ht="13.5" customHeight="1" x14ac:dyDescent="0.25">
      <c r="A11" s="177" t="s">
        <v>7</v>
      </c>
      <c r="B11" s="799" t="s">
        <v>8</v>
      </c>
      <c r="C11" s="801" t="s">
        <v>11</v>
      </c>
      <c r="D11" s="182">
        <v>100000</v>
      </c>
      <c r="E11" s="182">
        <f>'COUT PAR IP DES OUTILS'!F27</f>
        <v>101665.43301258326</v>
      </c>
      <c r="F11" s="191">
        <v>50000</v>
      </c>
      <c r="G11" s="167">
        <f t="shared" si="0"/>
        <v>50832.716506291632</v>
      </c>
      <c r="H11" s="804">
        <f>'COUT PAR IP DES OUTILS'!F26</f>
        <v>50832.716506291632</v>
      </c>
      <c r="I11" s="170"/>
      <c r="J11" s="154">
        <f>G11</f>
        <v>50832.716506291632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</row>
    <row r="12" spans="1:1007" ht="14.25" customHeight="1" x14ac:dyDescent="0.25">
      <c r="A12" s="177" t="s">
        <v>449</v>
      </c>
      <c r="B12" s="799" t="s">
        <v>13</v>
      </c>
      <c r="C12" s="802" t="s">
        <v>14</v>
      </c>
      <c r="D12" s="182">
        <v>50000</v>
      </c>
      <c r="E12" s="182">
        <f>'COUT PAR IP DES OUTILS'!G27</f>
        <v>51236.179775280892</v>
      </c>
      <c r="F12" s="191">
        <v>25000</v>
      </c>
      <c r="G12" s="167">
        <f t="shared" si="0"/>
        <v>25618.089887640446</v>
      </c>
      <c r="H12" s="804">
        <f>'COUT PAR IP DES OUTILS'!G26</f>
        <v>25618.089887640446</v>
      </c>
      <c r="I12" s="170"/>
      <c r="J12" s="154">
        <f>G12</f>
        <v>25618.089887640446</v>
      </c>
      <c r="K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</row>
    <row r="13" spans="1:1007" s="25" customFormat="1" ht="30.75" customHeight="1" x14ac:dyDescent="0.25">
      <c r="A13" s="177" t="s">
        <v>450</v>
      </c>
      <c r="B13" s="800" t="s">
        <v>446</v>
      </c>
      <c r="C13" s="816" t="s">
        <v>456</v>
      </c>
      <c r="D13" s="182">
        <v>70000</v>
      </c>
      <c r="E13" s="182">
        <f>'COUT PAR IP DES OUTILS'!H27</f>
        <v>70000</v>
      </c>
      <c r="F13" s="191">
        <v>35000</v>
      </c>
      <c r="G13" s="167">
        <f t="shared" si="0"/>
        <v>70000</v>
      </c>
      <c r="H13" s="804">
        <f>'COUT PAR IP DES OUTILS'!H26</f>
        <v>0</v>
      </c>
      <c r="I13" s="170"/>
      <c r="J13" s="154">
        <f>D13</f>
        <v>70000</v>
      </c>
    </row>
    <row r="14" spans="1:1007" x14ac:dyDescent="0.25">
      <c r="A14" s="177" t="s">
        <v>7</v>
      </c>
      <c r="B14" s="799" t="s">
        <v>8</v>
      </c>
      <c r="C14" s="801" t="s">
        <v>15</v>
      </c>
      <c r="D14" s="182">
        <v>204500</v>
      </c>
      <c r="E14" s="182">
        <f>'COUT PAR IP DES OUTILS'!E27</f>
        <v>208312.60053211707</v>
      </c>
      <c r="F14" s="191">
        <v>104300</v>
      </c>
      <c r="G14" s="167">
        <f t="shared" si="0"/>
        <v>106243.43557582668</v>
      </c>
      <c r="H14" s="805">
        <f>'COUT PAR IP DES OUTILS'!E26</f>
        <v>102069.16495629039</v>
      </c>
      <c r="I14" s="170"/>
      <c r="J14" s="15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</row>
    <row r="15" spans="1:1007" x14ac:dyDescent="0.25">
      <c r="B15" s="51"/>
      <c r="C15" s="157" t="s">
        <v>16</v>
      </c>
      <c r="D15" s="164">
        <f t="shared" ref="D15:J15" si="1">SUM(D9:D14)</f>
        <v>1030500</v>
      </c>
      <c r="E15" s="164">
        <f t="shared" si="1"/>
        <v>1073268.8214537704</v>
      </c>
      <c r="F15" s="192">
        <f t="shared" si="1"/>
        <v>671340</v>
      </c>
      <c r="G15" s="164">
        <f t="shared" si="1"/>
        <v>748339.42995151435</v>
      </c>
      <c r="H15" s="806">
        <f t="shared" si="1"/>
        <v>324929.39150225592</v>
      </c>
      <c r="I15" s="813">
        <f t="shared" si="1"/>
        <v>0</v>
      </c>
      <c r="J15" s="164">
        <f t="shared" si="1"/>
        <v>146450.80639393209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</row>
    <row r="16" spans="1:1007" x14ac:dyDescent="0.25">
      <c r="B16" s="159"/>
      <c r="C16" s="160"/>
      <c r="D16" s="183"/>
      <c r="E16" s="183"/>
      <c r="F16" s="193"/>
      <c r="G16" s="161"/>
      <c r="H16" s="172"/>
      <c r="I16" s="170"/>
      <c r="J16" s="141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</row>
    <row r="17" spans="1:1007" s="10" customFormat="1" ht="46.5" customHeight="1" x14ac:dyDescent="0.25">
      <c r="B17" s="163" t="s">
        <v>17</v>
      </c>
      <c r="C17" s="157" t="s">
        <v>18</v>
      </c>
      <c r="D17" s="142" t="s">
        <v>458</v>
      </c>
      <c r="E17" s="142" t="s">
        <v>20</v>
      </c>
      <c r="F17" s="194" t="s">
        <v>19</v>
      </c>
      <c r="G17" s="142" t="s">
        <v>5</v>
      </c>
      <c r="H17" s="803" t="s">
        <v>6</v>
      </c>
      <c r="I17" s="19"/>
      <c r="J17" s="142" t="s">
        <v>5</v>
      </c>
      <c r="K17" s="14"/>
      <c r="L17" s="15"/>
      <c r="N17" s="12"/>
      <c r="O17" s="16"/>
    </row>
    <row r="18" spans="1:1007" x14ac:dyDescent="0.25">
      <c r="A18" s="177" t="s">
        <v>12</v>
      </c>
      <c r="B18" s="171" t="s">
        <v>21</v>
      </c>
      <c r="C18" s="816" t="s">
        <v>22</v>
      </c>
      <c r="D18" s="184">
        <v>17500</v>
      </c>
      <c r="E18" s="184">
        <f>'COUT PAR IP DES OUTILS'!N27</f>
        <v>17033</v>
      </c>
      <c r="F18" s="195">
        <v>17033</v>
      </c>
      <c r="G18" s="167">
        <f>E18-H18</f>
        <v>17033</v>
      </c>
      <c r="H18" s="807">
        <f>'COUT PAR IP DES OUTILS'!N26</f>
        <v>0</v>
      </c>
      <c r="I18" s="19"/>
      <c r="J18" s="155">
        <f>G18</f>
        <v>17033</v>
      </c>
      <c r="K18" s="14"/>
      <c r="L18" s="15"/>
      <c r="M18" s="1"/>
      <c r="N18" s="12"/>
      <c r="O18" s="16"/>
      <c r="P18" s="1"/>
      <c r="Q18" s="1"/>
      <c r="ALR18" s="25"/>
      <c r="ALS18" s="25"/>
    </row>
    <row r="19" spans="1:1007" x14ac:dyDescent="0.25">
      <c r="A19" s="177" t="s">
        <v>7</v>
      </c>
      <c r="B19" s="143" t="s">
        <v>455</v>
      </c>
      <c r="C19" s="816" t="s">
        <v>23</v>
      </c>
      <c r="D19" s="184">
        <v>115600</v>
      </c>
      <c r="E19" s="184">
        <f>'COUT PAR IP DES OUTILS'!P27</f>
        <v>115600.00000000003</v>
      </c>
      <c r="F19" s="195">
        <v>113100</v>
      </c>
      <c r="G19" s="167">
        <f t="shared" ref="G19:G25" si="2">E19-H19</f>
        <v>115600.00000000003</v>
      </c>
      <c r="H19" s="808">
        <f>'COUT PAR IP DES OUTILS'!P26</f>
        <v>0</v>
      </c>
      <c r="I19" s="173"/>
      <c r="J19" s="15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</row>
    <row r="20" spans="1:1007" x14ac:dyDescent="0.25">
      <c r="A20" s="177" t="s">
        <v>7</v>
      </c>
      <c r="B20" s="60" t="s">
        <v>8</v>
      </c>
      <c r="C20" s="802" t="s">
        <v>24</v>
      </c>
      <c r="D20" s="184">
        <v>138000</v>
      </c>
      <c r="E20" s="184">
        <f>'COUT PAR IP DES OUTILS'!I27</f>
        <v>140705.70429494488</v>
      </c>
      <c r="F20" s="195">
        <v>90000</v>
      </c>
      <c r="G20" s="167">
        <f t="shared" si="2"/>
        <v>91590.054275940696</v>
      </c>
      <c r="H20" s="808">
        <f>'COUT PAR IP DES OUTILS'!I26</f>
        <v>49115.650019004184</v>
      </c>
      <c r="I20" s="814"/>
      <c r="J20" s="202"/>
      <c r="N20" s="9"/>
    </row>
    <row r="21" spans="1:1007" x14ac:dyDescent="0.25">
      <c r="A21" s="177" t="s">
        <v>7</v>
      </c>
      <c r="B21" s="166" t="s">
        <v>8</v>
      </c>
      <c r="C21" s="802" t="s">
        <v>25</v>
      </c>
      <c r="D21" s="184">
        <v>90000</v>
      </c>
      <c r="E21" s="184">
        <f>'COUT PAR IP DES OUTILS'!J27</f>
        <v>91253.439756746491</v>
      </c>
      <c r="F21" s="195">
        <v>54000</v>
      </c>
      <c r="G21" s="167">
        <f t="shared" si="2"/>
        <v>54752.06385404789</v>
      </c>
      <c r="H21" s="808">
        <f>'COUT PAR IP DES OUTILS'!J26</f>
        <v>36501.375902698601</v>
      </c>
      <c r="I21" s="815"/>
      <c r="J21" s="15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</row>
    <row r="22" spans="1:1007" x14ac:dyDescent="0.25">
      <c r="A22" s="177" t="s">
        <v>7</v>
      </c>
      <c r="B22" s="166" t="s">
        <v>8</v>
      </c>
      <c r="C22" s="802" t="s">
        <v>26</v>
      </c>
      <c r="D22" s="184">
        <v>43000</v>
      </c>
      <c r="E22" s="184">
        <f>'COUT PAR IP DES OUTILS'!M27</f>
        <v>43517.341582302215</v>
      </c>
      <c r="F22" s="195">
        <v>25800</v>
      </c>
      <c r="G22" s="167">
        <f t="shared" si="2"/>
        <v>26110.404949381329</v>
      </c>
      <c r="H22" s="808">
        <f>'COUT PAR IP DES OUTILS'!M26</f>
        <v>17406.936632920886</v>
      </c>
      <c r="I22" s="815"/>
      <c r="J22" s="15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</row>
    <row r="23" spans="1:1007" s="25" customFormat="1" x14ac:dyDescent="0.25">
      <c r="A23" s="177" t="s">
        <v>7</v>
      </c>
      <c r="B23" s="166" t="s">
        <v>8</v>
      </c>
      <c r="C23" s="802" t="s">
        <v>27</v>
      </c>
      <c r="D23" s="184">
        <v>55600</v>
      </c>
      <c r="E23" s="184">
        <f>'COUT PAR IP DES OUTILS'!L27</f>
        <v>56649.793775778031</v>
      </c>
      <c r="F23" s="195">
        <v>33360</v>
      </c>
      <c r="G23" s="167">
        <f t="shared" si="2"/>
        <v>33989.876265466817</v>
      </c>
      <c r="H23" s="808">
        <f>'COUT PAR IP DES OUTILS'!L26</f>
        <v>22659.917510311214</v>
      </c>
      <c r="I23" s="815"/>
      <c r="J23" s="155"/>
    </row>
    <row r="24" spans="1:1007" x14ac:dyDescent="0.25">
      <c r="A24" s="177" t="s">
        <v>7</v>
      </c>
      <c r="B24" s="166" t="s">
        <v>8</v>
      </c>
      <c r="C24" s="802" t="s">
        <v>28</v>
      </c>
      <c r="D24" s="184">
        <v>85000</v>
      </c>
      <c r="E24" s="184">
        <f>'COUT PAR IP DES OUTILS'!K27</f>
        <v>83495.853287723308</v>
      </c>
      <c r="F24" s="195">
        <v>51000</v>
      </c>
      <c r="G24" s="167">
        <f t="shared" si="2"/>
        <v>50732.318510072218</v>
      </c>
      <c r="H24" s="809">
        <f>'COUT PAR IP DES OUTILS'!K26</f>
        <v>32763.534777651086</v>
      </c>
      <c r="I24" s="815"/>
      <c r="J24" s="15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</row>
    <row r="25" spans="1:1007" x14ac:dyDescent="0.25">
      <c r="A25" s="177" t="s">
        <v>12</v>
      </c>
      <c r="B25" s="20" t="s">
        <v>29</v>
      </c>
      <c r="C25" s="816" t="s">
        <v>30</v>
      </c>
      <c r="D25" s="184">
        <v>15000</v>
      </c>
      <c r="E25" s="184">
        <f>'COUT PAR IP DES OUTILS'!O27</f>
        <v>15000.000000000002</v>
      </c>
      <c r="F25" s="195">
        <f t="shared" ref="F25" si="3">G25+H25</f>
        <v>15000.000000000002</v>
      </c>
      <c r="G25" s="167">
        <f t="shared" si="2"/>
        <v>15000.000000000002</v>
      </c>
      <c r="H25" s="808">
        <f>'COUT PAR IP DES OUTILS'!O26</f>
        <v>0</v>
      </c>
      <c r="I25" s="19"/>
      <c r="J25" s="155">
        <f>G25</f>
        <v>15000.000000000002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</row>
    <row r="26" spans="1:1007" x14ac:dyDescent="0.25">
      <c r="B26" s="171"/>
      <c r="C26" s="51" t="s">
        <v>31</v>
      </c>
      <c r="D26" s="158">
        <f>SUM(D18:D25)</f>
        <v>559700</v>
      </c>
      <c r="E26" s="158">
        <f>SUM(E18:E25)</f>
        <v>563255.13269749493</v>
      </c>
      <c r="F26" s="196">
        <f>SUM(F18:F25)</f>
        <v>399293</v>
      </c>
      <c r="G26" s="158">
        <f>SUM(G18:G25)</f>
        <v>404807.7178549089</v>
      </c>
      <c r="H26" s="810">
        <f>SUM(H18:H25)</f>
        <v>158447.41484258597</v>
      </c>
      <c r="I26" s="25"/>
      <c r="J26" s="203">
        <f>SUM(J18:J25)</f>
        <v>32033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</row>
    <row r="27" spans="1:1007" x14ac:dyDescent="0.25">
      <c r="B27" s="169"/>
      <c r="C27" s="21"/>
      <c r="D27" s="165">
        <f>SUM(D5:D26)</f>
        <v>3180400</v>
      </c>
      <c r="E27" s="165"/>
      <c r="F27" s="197"/>
      <c r="G27" s="165"/>
      <c r="H27" s="165"/>
      <c r="I27" s="19"/>
      <c r="J27" s="14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</row>
    <row r="28" spans="1:1007" ht="40.5" customHeight="1" x14ac:dyDescent="0.25">
      <c r="B28" s="163" t="s">
        <v>32</v>
      </c>
      <c r="C28" s="157" t="s">
        <v>33</v>
      </c>
      <c r="D28" s="142" t="s">
        <v>460</v>
      </c>
      <c r="E28" s="142" t="s">
        <v>20</v>
      </c>
      <c r="F28" s="194" t="s">
        <v>19</v>
      </c>
      <c r="G28" s="142" t="s">
        <v>5</v>
      </c>
      <c r="H28" s="803" t="s">
        <v>6</v>
      </c>
      <c r="I28" s="19"/>
      <c r="J28" s="142" t="s">
        <v>5</v>
      </c>
      <c r="N28" s="9"/>
    </row>
    <row r="29" spans="1:1007" s="25" customFormat="1" x14ac:dyDescent="0.25">
      <c r="A29" s="177"/>
      <c r="B29" s="171"/>
      <c r="C29" s="51" t="s">
        <v>34</v>
      </c>
      <c r="D29" s="158"/>
      <c r="E29" s="158"/>
      <c r="F29" s="196"/>
      <c r="G29" s="158"/>
      <c r="H29" s="810"/>
      <c r="I29" s="23"/>
      <c r="J29" s="154">
        <f>G29</f>
        <v>0</v>
      </c>
    </row>
    <row r="30" spans="1:1007" s="25" customFormat="1" ht="15.75" hidden="1" thickBot="1" x14ac:dyDescent="0.3">
      <c r="A30" s="177"/>
      <c r="B30" s="166"/>
      <c r="C30" s="51" t="s">
        <v>34</v>
      </c>
      <c r="D30" s="182"/>
      <c r="E30" s="182"/>
      <c r="F30" s="191"/>
      <c r="G30" s="153"/>
      <c r="H30" s="805"/>
      <c r="I30" s="170"/>
      <c r="J30" s="154">
        <f t="shared" ref="J30:J31" si="4">G30</f>
        <v>0</v>
      </c>
    </row>
    <row r="31" spans="1:1007" s="25" customFormat="1" ht="15.75" thickBot="1" x14ac:dyDescent="0.3">
      <c r="A31" s="177"/>
      <c r="B31" s="962"/>
      <c r="C31" s="51" t="s">
        <v>494</v>
      </c>
      <c r="D31" s="963"/>
      <c r="E31" s="963"/>
      <c r="F31" s="376"/>
      <c r="G31" s="964"/>
      <c r="H31" s="965"/>
      <c r="I31" s="170"/>
      <c r="J31" s="154">
        <v>13000</v>
      </c>
    </row>
    <row r="32" spans="1:1007" ht="15.75" thickBot="1" x14ac:dyDescent="0.3">
      <c r="B32" s="25"/>
      <c r="C32" s="18" t="s">
        <v>35</v>
      </c>
      <c r="D32" s="185">
        <f>D26+D15</f>
        <v>1590200</v>
      </c>
      <c r="E32" s="185">
        <f>E15+E26</f>
        <v>1636523.9541512653</v>
      </c>
      <c r="F32" s="198">
        <f>F15+F26</f>
        <v>1070633</v>
      </c>
      <c r="G32" s="187">
        <f>G26+G15+G29</f>
        <v>1153147.1478064233</v>
      </c>
      <c r="H32" s="811">
        <f>H26+H15+H29</f>
        <v>483376.8063448419</v>
      </c>
      <c r="I32" s="24"/>
      <c r="J32" s="204">
        <f>J26+J15+J31</f>
        <v>191483.80639393209</v>
      </c>
      <c r="N32" s="9"/>
    </row>
    <row r="33" spans="1:1007" x14ac:dyDescent="0.25">
      <c r="B33" s="25"/>
      <c r="C33" s="174"/>
      <c r="D33" s="175"/>
      <c r="E33" s="175"/>
      <c r="F33" s="199"/>
      <c r="G33" s="175"/>
      <c r="H33" s="175"/>
    </row>
    <row r="34" spans="1:1007" x14ac:dyDescent="0.25">
      <c r="B34" s="25"/>
      <c r="C34" s="22"/>
      <c r="D34" s="186"/>
      <c r="E34" s="186"/>
      <c r="F34" s="200"/>
      <c r="G34" s="23"/>
      <c r="H34" s="23"/>
    </row>
    <row r="35" spans="1:1007" ht="26.25" customHeight="1" x14ac:dyDescent="0.25">
      <c r="B35" s="22" t="s">
        <v>36</v>
      </c>
      <c r="C35" s="821"/>
      <c r="D35" s="821"/>
      <c r="E35" s="821"/>
      <c r="F35" s="821"/>
      <c r="G35" s="821"/>
      <c r="H35" s="821"/>
    </row>
    <row r="37" spans="1:1007" x14ac:dyDescent="0.25">
      <c r="A37" s="177" t="s">
        <v>7</v>
      </c>
      <c r="B37" s="25" t="s">
        <v>37</v>
      </c>
    </row>
    <row r="38" spans="1:1007" x14ac:dyDescent="0.25">
      <c r="A38" s="177" t="s">
        <v>12</v>
      </c>
      <c r="B38" s="25" t="s">
        <v>38</v>
      </c>
    </row>
    <row r="39" spans="1:1007" s="25" customFormat="1" x14ac:dyDescent="0.25">
      <c r="A39" s="177" t="s">
        <v>451</v>
      </c>
      <c r="B39" s="25" t="s">
        <v>453</v>
      </c>
      <c r="C39" s="1"/>
      <c r="D39" s="180"/>
      <c r="E39" s="180"/>
      <c r="F39" s="201"/>
      <c r="G39" s="2"/>
      <c r="H39" s="2"/>
      <c r="I39" s="2"/>
      <c r="J39" s="145"/>
      <c r="K39" s="4"/>
      <c r="L39" s="5"/>
      <c r="M39" s="5"/>
      <c r="N39" s="6"/>
      <c r="O39" s="1"/>
      <c r="P39" s="3"/>
      <c r="Q39" s="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</row>
    <row r="40" spans="1:1007" s="25" customFormat="1" x14ac:dyDescent="0.25">
      <c r="A40" s="177" t="s">
        <v>452</v>
      </c>
      <c r="B40" s="25" t="s">
        <v>457</v>
      </c>
      <c r="C40" s="1"/>
      <c r="D40" s="180"/>
      <c r="E40" s="180"/>
      <c r="F40" s="201"/>
      <c r="G40" s="2"/>
      <c r="H40" s="2"/>
      <c r="I40" s="2"/>
      <c r="J40" s="145"/>
      <c r="K40" s="4"/>
      <c r="L40" s="5"/>
      <c r="M40" s="5"/>
      <c r="N40" s="6"/>
      <c r="O40" s="1"/>
      <c r="P40" s="3"/>
      <c r="Q40" s="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</row>
    <row r="41" spans="1:1007" s="25" customFormat="1" x14ac:dyDescent="0.25">
      <c r="A41" s="818"/>
      <c r="B41" s="25" t="s">
        <v>462</v>
      </c>
      <c r="C41" s="1"/>
      <c r="D41" s="180"/>
      <c r="E41" s="180"/>
      <c r="F41" s="201"/>
      <c r="G41" s="2"/>
      <c r="H41" s="2"/>
      <c r="I41" s="2"/>
      <c r="J41" s="145"/>
      <c r="K41" s="4"/>
      <c r="L41" s="5"/>
      <c r="M41" s="5"/>
      <c r="N41" s="6"/>
      <c r="O41" s="1"/>
      <c r="P41" s="3"/>
      <c r="Q41" s="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</row>
    <row r="42" spans="1:1007" x14ac:dyDescent="0.25">
      <c r="A42" s="817"/>
      <c r="B42" s="25" t="s">
        <v>463</v>
      </c>
    </row>
    <row r="43" spans="1:1007" s="25" customFormat="1" x14ac:dyDescent="0.25">
      <c r="C43" s="1"/>
      <c r="D43" s="180"/>
      <c r="E43" s="180"/>
      <c r="F43" s="201"/>
      <c r="G43" s="2"/>
      <c r="H43" s="2"/>
      <c r="I43" s="2"/>
      <c r="J43" s="145"/>
      <c r="K43" s="4"/>
      <c r="L43" s="5"/>
      <c r="M43" s="5"/>
      <c r="N43" s="6"/>
      <c r="O43" s="1"/>
      <c r="P43" s="3"/>
      <c r="Q43" s="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</row>
    <row r="44" spans="1:1007" s="25" customFormat="1" x14ac:dyDescent="0.25">
      <c r="C44" s="1"/>
      <c r="D44" s="180"/>
      <c r="E44" s="180"/>
      <c r="F44" s="201"/>
      <c r="G44" s="2"/>
      <c r="H44" s="2"/>
      <c r="I44" s="2"/>
      <c r="J44" s="145"/>
      <c r="K44" s="4"/>
      <c r="L44" s="5"/>
      <c r="M44" s="5"/>
      <c r="N44" s="6"/>
      <c r="O44" s="1"/>
      <c r="P44" s="3"/>
      <c r="Q44" s="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</row>
    <row r="45" spans="1:1007" x14ac:dyDescent="0.25">
      <c r="B45" s="179" t="s">
        <v>39</v>
      </c>
    </row>
    <row r="46" spans="1:1007" x14ac:dyDescent="0.25">
      <c r="A46" s="25" t="s">
        <v>40</v>
      </c>
      <c r="B46" s="178">
        <v>44000</v>
      </c>
      <c r="C46" s="822" t="s">
        <v>41</v>
      </c>
      <c r="D46" s="822"/>
      <c r="E46" s="822"/>
      <c r="F46" s="822"/>
      <c r="G46" s="822"/>
      <c r="H46" s="822"/>
    </row>
    <row r="47" spans="1:1007" x14ac:dyDescent="0.25">
      <c r="A47" s="25" t="s">
        <v>448</v>
      </c>
      <c r="B47" s="178">
        <v>44354</v>
      </c>
      <c r="C47" s="820" t="s">
        <v>454</v>
      </c>
      <c r="D47" s="820"/>
      <c r="E47" s="820"/>
      <c r="F47" s="820"/>
      <c r="G47" s="820"/>
    </row>
  </sheetData>
  <mergeCells count="6">
    <mergeCell ref="F1:I1"/>
    <mergeCell ref="C47:G47"/>
    <mergeCell ref="C35:H35"/>
    <mergeCell ref="C46:H46"/>
    <mergeCell ref="C6:I6"/>
    <mergeCell ref="C7:H7"/>
  </mergeCells>
  <hyperlinks>
    <hyperlink ref="C9" location="'IRI FR VT'!A1" display="DISTRI VINS TRANQUILLES FRANCE Y COMPRIS PROXI"/>
    <hyperlink ref="C10" location="'IRI FR EFF'!A1" display="DISTRI VINS EFFERVESCENTS FRANCE Y COMPRIS PROXI"/>
    <hyperlink ref="C11" location="'PANEL CHR FRANCE'!A1" display="PANEL SUIVI DES ACHATS EN CHR"/>
    <hyperlink ref="C12" location="'PANEL CHR FRANCE'!A1" display="CHR RELEVE D'OFFRE "/>
    <hyperlink ref="C14" location="KANTAR!A1" display="CONSO VINS TRANQUILLES ET EFFERVESCENTS France"/>
    <hyperlink ref="C18" location="'DETAIL CALCUL ETUDES MUTUALISEE'!A1" display="MULTI PAYS GTI"/>
    <hyperlink ref="C19" location="'DETAIL CALCUL ETUDES MUTUALISEE'!A1" display="MULTI PAYS  : WINE INTELLIGENCE"/>
    <hyperlink ref="C20" location="'IRI UK'!A1" display="UK : PANEL SUIVI DES VENTES EN GD VT VE"/>
    <hyperlink ref="C21" location="'IRI ALL'!A1" display="ALL : PANEL SUIVI DES VENTES EN GD VT VE"/>
    <hyperlink ref="C22" location="GfK!A1" display="ALL : SUIVI CONSO VT VE"/>
    <hyperlink ref="C24" location="'IRI PB'!A1" display="PAYS-BAS : SUIVI VENTES EN GD VT"/>
    <hyperlink ref="C25" location="' DETAIL MONOPOLES'!A1" display="MONOPOLES : ACHAT DE DONNEES"/>
    <hyperlink ref="C23" location="GfK!A1" display="ALL : SUIVI CONSO VT VE"/>
    <hyperlink ref="C13" location="'RO Cavistes'!A1" display="CAVISTES RELEVE D'OFFRE Régions"/>
  </hyperlinks>
  <pageMargins left="0.25" right="0.25" top="0.75" bottom="0.75" header="0.3" footer="0.3"/>
  <pageSetup paperSize="9" scale="66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0"/>
  <sheetViews>
    <sheetView workbookViewId="0">
      <selection sqref="A1:A3"/>
    </sheetView>
  </sheetViews>
  <sheetFormatPr baseColWidth="10" defaultColWidth="9.140625" defaultRowHeight="15" x14ac:dyDescent="0.25"/>
  <cols>
    <col min="1" max="1" width="9.140625" style="188"/>
    <col min="2" max="2" width="21.28515625" style="188" customWidth="1"/>
    <col min="3" max="3" width="15.28515625" style="188" customWidth="1"/>
    <col min="4" max="4" width="16" style="188" customWidth="1"/>
    <col min="5" max="5" width="10.42578125" style="188" bestFit="1" customWidth="1"/>
    <col min="6" max="6" width="15.85546875" style="188" customWidth="1"/>
    <col min="7" max="9" width="11.42578125" style="188" bestFit="1" customWidth="1"/>
    <col min="10" max="16384" width="9.140625" style="188"/>
  </cols>
  <sheetData>
    <row r="1" spans="1:12" ht="15" customHeight="1" x14ac:dyDescent="0.25">
      <c r="A1" s="887" t="s">
        <v>234</v>
      </c>
      <c r="B1" s="898" t="s">
        <v>48</v>
      </c>
      <c r="C1" s="898"/>
      <c r="D1" s="898"/>
      <c r="E1" s="728"/>
      <c r="F1" s="899" t="s">
        <v>234</v>
      </c>
      <c r="G1" s="729"/>
      <c r="H1" s="730"/>
      <c r="I1" s="730"/>
      <c r="J1" s="699"/>
      <c r="K1" s="699"/>
      <c r="L1" s="699"/>
    </row>
    <row r="2" spans="1:12" ht="15" customHeight="1" x14ac:dyDescent="0.25">
      <c r="A2" s="887"/>
      <c r="B2" s="900" t="s">
        <v>297</v>
      </c>
      <c r="C2" s="900"/>
      <c r="D2" s="900"/>
      <c r="E2" s="728"/>
      <c r="F2" s="899"/>
      <c r="G2" s="894">
        <v>2021</v>
      </c>
      <c r="H2" s="894"/>
      <c r="I2" s="894"/>
      <c r="J2" s="451"/>
      <c r="K2" s="233"/>
      <c r="L2" s="233"/>
    </row>
    <row r="3" spans="1:12" ht="60" x14ac:dyDescent="0.25">
      <c r="A3" s="887"/>
      <c r="B3" s="731" t="s">
        <v>189</v>
      </c>
      <c r="C3" s="732" t="s">
        <v>237</v>
      </c>
      <c r="D3" s="732" t="s">
        <v>318</v>
      </c>
      <c r="E3" s="733"/>
      <c r="F3" s="899"/>
      <c r="G3" s="732" t="s">
        <v>298</v>
      </c>
      <c r="H3" s="734" t="s">
        <v>299</v>
      </c>
      <c r="I3" s="735" t="s">
        <v>300</v>
      </c>
    </row>
    <row r="4" spans="1:12" x14ac:dyDescent="0.25">
      <c r="A4" s="720" t="s">
        <v>60</v>
      </c>
      <c r="B4" s="526">
        <f t="shared" ref="B4:B26" si="0">C4+D4</f>
        <v>5650.1463178982685</v>
      </c>
      <c r="C4" s="736">
        <f t="shared" ref="C4:C25" si="1">G4</f>
        <v>5351.9841307885326</v>
      </c>
      <c r="D4" s="737">
        <f t="shared" ref="D4:D24" si="2">IF(C4&lt;&gt;0,$C$39/$C$30,0)</f>
        <v>298.16218710973556</v>
      </c>
      <c r="E4" s="487"/>
      <c r="F4" s="720" t="s">
        <v>60</v>
      </c>
      <c r="G4" s="736">
        <f t="shared" ref="G4:G24" si="3">H4+I4</f>
        <v>5351.9841307885326</v>
      </c>
      <c r="H4" s="526">
        <f>'ANNEXE 1 Grille'!B2*$I$26/2</f>
        <v>4283.6367864763761</v>
      </c>
      <c r="I4" s="723">
        <f t="shared" ref="I4:I22" si="4">IF(H4&lt;&gt;0,K$27/C$30,H4)</f>
        <v>1068.3473443121568</v>
      </c>
      <c r="K4" s="328"/>
    </row>
    <row r="5" spans="1:12" x14ac:dyDescent="0.25">
      <c r="A5" s="720" t="s">
        <v>61</v>
      </c>
      <c r="B5" s="526">
        <f t="shared" si="0"/>
        <v>0</v>
      </c>
      <c r="C5" s="736">
        <f t="shared" si="1"/>
        <v>0</v>
      </c>
      <c r="D5" s="737">
        <f t="shared" si="2"/>
        <v>0</v>
      </c>
      <c r="E5" s="487"/>
      <c r="F5" s="720" t="s">
        <v>61</v>
      </c>
      <c r="G5" s="736">
        <f t="shared" si="3"/>
        <v>0</v>
      </c>
      <c r="H5" s="526"/>
      <c r="I5" s="723">
        <f t="shared" si="4"/>
        <v>0</v>
      </c>
      <c r="K5" s="328"/>
    </row>
    <row r="6" spans="1:12" x14ac:dyDescent="0.25">
      <c r="A6" s="720" t="s">
        <v>62</v>
      </c>
      <c r="B6" s="526">
        <f t="shared" si="0"/>
        <v>2732.4461859927301</v>
      </c>
      <c r="C6" s="736">
        <f t="shared" si="1"/>
        <v>2434.2839988829946</v>
      </c>
      <c r="D6" s="737">
        <f t="shared" si="2"/>
        <v>298.16218710973556</v>
      </c>
      <c r="E6" s="487"/>
      <c r="F6" s="720" t="s">
        <v>62</v>
      </c>
      <c r="G6" s="736">
        <f t="shared" si="3"/>
        <v>2434.2839988829946</v>
      </c>
      <c r="H6" s="526">
        <f>'ANNEXE 1 Grille'!B4*$I$26/2</f>
        <v>1365.9366545708376</v>
      </c>
      <c r="I6" s="723">
        <f t="shared" si="4"/>
        <v>1068.3473443121568</v>
      </c>
      <c r="K6" s="328"/>
    </row>
    <row r="7" spans="1:12" x14ac:dyDescent="0.25">
      <c r="A7" s="720" t="s">
        <v>63</v>
      </c>
      <c r="B7" s="526">
        <f t="shared" si="0"/>
        <v>16682.706871022088</v>
      </c>
      <c r="C7" s="736">
        <f t="shared" si="1"/>
        <v>16384.544683912354</v>
      </c>
      <c r="D7" s="737">
        <f t="shared" si="2"/>
        <v>298.16218710973556</v>
      </c>
      <c r="E7" s="487"/>
      <c r="F7" s="720" t="s">
        <v>63</v>
      </c>
      <c r="G7" s="736">
        <f t="shared" si="3"/>
        <v>16384.544683912354</v>
      </c>
      <c r="H7" s="526">
        <f>'ANNEXE 1 Grille'!B5*$I$26/2</f>
        <v>15316.197339600198</v>
      </c>
      <c r="I7" s="723">
        <f t="shared" si="4"/>
        <v>1068.3473443121568</v>
      </c>
    </row>
    <row r="8" spans="1:12" x14ac:dyDescent="0.25">
      <c r="A8" s="720" t="s">
        <v>64</v>
      </c>
      <c r="B8" s="526">
        <f t="shared" si="0"/>
        <v>8784.2126561836412</v>
      </c>
      <c r="C8" s="736">
        <f t="shared" si="1"/>
        <v>8486.0504690739053</v>
      </c>
      <c r="D8" s="737">
        <f t="shared" si="2"/>
        <v>298.16218710973556</v>
      </c>
      <c r="E8" s="487"/>
      <c r="F8" s="720" t="s">
        <v>64</v>
      </c>
      <c r="G8" s="736">
        <f t="shared" si="3"/>
        <v>8486.0504690739053</v>
      </c>
      <c r="H8" s="526">
        <f>'ANNEXE 1 Grille'!B6*$I$26/2</f>
        <v>7417.7031247617479</v>
      </c>
      <c r="I8" s="723">
        <f t="shared" si="4"/>
        <v>1068.3473443121568</v>
      </c>
    </row>
    <row r="9" spans="1:12" x14ac:dyDescent="0.25">
      <c r="A9" s="720" t="s">
        <v>65</v>
      </c>
      <c r="B9" s="526">
        <f t="shared" si="0"/>
        <v>1789.9723971124413</v>
      </c>
      <c r="C9" s="736">
        <f t="shared" si="1"/>
        <v>1491.8102100027058</v>
      </c>
      <c r="D9" s="737">
        <f t="shared" si="2"/>
        <v>298.16218710973556</v>
      </c>
      <c r="E9" s="487"/>
      <c r="F9" s="720" t="s">
        <v>65</v>
      </c>
      <c r="G9" s="736">
        <f t="shared" si="3"/>
        <v>1491.8102100027058</v>
      </c>
      <c r="H9" s="526">
        <f>'ANNEXE 1 Grille'!B7*$I$26/2</f>
        <v>423.46286569054911</v>
      </c>
      <c r="I9" s="723">
        <f t="shared" si="4"/>
        <v>1068.3473443121568</v>
      </c>
    </row>
    <row r="10" spans="1:12" x14ac:dyDescent="0.25">
      <c r="A10" s="720" t="s">
        <v>66</v>
      </c>
      <c r="B10" s="526">
        <f t="shared" si="0"/>
        <v>0</v>
      </c>
      <c r="C10" s="736">
        <f t="shared" si="1"/>
        <v>0</v>
      </c>
      <c r="D10" s="737">
        <f t="shared" si="2"/>
        <v>0</v>
      </c>
      <c r="E10" s="487"/>
      <c r="F10" s="720" t="s">
        <v>66</v>
      </c>
      <c r="G10" s="736">
        <f t="shared" si="3"/>
        <v>0</v>
      </c>
      <c r="H10" s="526"/>
      <c r="I10" s="723">
        <f t="shared" si="4"/>
        <v>0</v>
      </c>
    </row>
    <row r="11" spans="1:12" x14ac:dyDescent="0.25">
      <c r="A11" s="720" t="s">
        <v>67</v>
      </c>
      <c r="B11" s="526">
        <f t="shared" si="0"/>
        <v>0</v>
      </c>
      <c r="C11" s="736">
        <f t="shared" si="1"/>
        <v>0</v>
      </c>
      <c r="D11" s="737">
        <f t="shared" si="2"/>
        <v>0</v>
      </c>
      <c r="E11" s="487"/>
      <c r="F11" s="720" t="s">
        <v>67</v>
      </c>
      <c r="G11" s="736">
        <f t="shared" si="3"/>
        <v>0</v>
      </c>
      <c r="H11" s="526"/>
      <c r="I11" s="723">
        <f t="shared" si="4"/>
        <v>0</v>
      </c>
    </row>
    <row r="12" spans="1:12" x14ac:dyDescent="0.25">
      <c r="A12" s="720" t="s">
        <v>68</v>
      </c>
      <c r="B12" s="526">
        <f t="shared" si="0"/>
        <v>15840.279601888073</v>
      </c>
      <c r="C12" s="736">
        <f t="shared" si="1"/>
        <v>15542.117414778337</v>
      </c>
      <c r="D12" s="737">
        <f t="shared" si="2"/>
        <v>298.16218710973556</v>
      </c>
      <c r="E12" s="487"/>
      <c r="F12" s="720" t="s">
        <v>68</v>
      </c>
      <c r="G12" s="736">
        <f t="shared" si="3"/>
        <v>15542.117414778337</v>
      </c>
      <c r="H12" s="526">
        <f>'ANNEXE 1 Grille'!B10*$I$26/2</f>
        <v>14473.77007046618</v>
      </c>
      <c r="I12" s="723">
        <f t="shared" si="4"/>
        <v>1068.3473443121568</v>
      </c>
    </row>
    <row r="13" spans="1:12" x14ac:dyDescent="0.25">
      <c r="A13" s="720" t="s">
        <v>69</v>
      </c>
      <c r="B13" s="526">
        <f t="shared" si="0"/>
        <v>8859.4679786776851</v>
      </c>
      <c r="C13" s="736">
        <f t="shared" si="1"/>
        <v>8561.3057915679492</v>
      </c>
      <c r="D13" s="737">
        <f t="shared" si="2"/>
        <v>298.16218710973556</v>
      </c>
      <c r="E13" s="487"/>
      <c r="F13" s="720" t="s">
        <v>69</v>
      </c>
      <c r="G13" s="736">
        <f t="shared" si="3"/>
        <v>8561.3057915679492</v>
      </c>
      <c r="H13" s="526">
        <f>'ANNEXE 1 Grille'!B11*$I$26/2</f>
        <v>7492.9584472557926</v>
      </c>
      <c r="I13" s="723">
        <f t="shared" si="4"/>
        <v>1068.3473443121568</v>
      </c>
    </row>
    <row r="14" spans="1:12" x14ac:dyDescent="0.25">
      <c r="A14" s="720" t="s">
        <v>70</v>
      </c>
      <c r="B14" s="526">
        <f t="shared" si="0"/>
        <v>7986.2368590211227</v>
      </c>
      <c r="C14" s="736">
        <f t="shared" si="1"/>
        <v>7688.0746719113868</v>
      </c>
      <c r="D14" s="737">
        <f t="shared" si="2"/>
        <v>298.16218710973556</v>
      </c>
      <c r="E14" s="487"/>
      <c r="F14" s="720" t="s">
        <v>70</v>
      </c>
      <c r="G14" s="736">
        <f t="shared" si="3"/>
        <v>7688.0746719113868</v>
      </c>
      <c r="H14" s="526">
        <f>'ANNEXE 1 Grille'!B12*$I$26/2</f>
        <v>6619.7273275992302</v>
      </c>
      <c r="I14" s="723">
        <f t="shared" si="4"/>
        <v>1068.3473443121568</v>
      </c>
    </row>
    <row r="15" spans="1:12" x14ac:dyDescent="0.25">
      <c r="A15" s="720" t="s">
        <v>71</v>
      </c>
      <c r="B15" s="526">
        <f t="shared" si="0"/>
        <v>0</v>
      </c>
      <c r="C15" s="736">
        <f t="shared" si="1"/>
        <v>0</v>
      </c>
      <c r="D15" s="737">
        <f t="shared" si="2"/>
        <v>0</v>
      </c>
      <c r="E15" s="487"/>
      <c r="F15" s="720" t="s">
        <v>71</v>
      </c>
      <c r="G15" s="736">
        <f t="shared" si="3"/>
        <v>0</v>
      </c>
      <c r="H15" s="526"/>
      <c r="I15" s="723">
        <f t="shared" si="4"/>
        <v>0</v>
      </c>
    </row>
    <row r="16" spans="1:12" x14ac:dyDescent="0.25">
      <c r="A16" s="720" t="s">
        <v>72</v>
      </c>
      <c r="B16" s="526">
        <f t="shared" si="0"/>
        <v>5228.4720030565913</v>
      </c>
      <c r="C16" s="736">
        <f t="shared" si="1"/>
        <v>4930.3098159468555</v>
      </c>
      <c r="D16" s="737">
        <f t="shared" si="2"/>
        <v>298.16218710973556</v>
      </c>
      <c r="E16" s="487"/>
      <c r="F16" s="720" t="s">
        <v>72</v>
      </c>
      <c r="G16" s="736">
        <f t="shared" si="3"/>
        <v>4930.3098159468555</v>
      </c>
      <c r="H16" s="526">
        <f>'ANNEXE 1 Grille'!B14*$I$26/2</f>
        <v>3861.9624716346989</v>
      </c>
      <c r="I16" s="723">
        <f t="shared" si="4"/>
        <v>1068.3473443121568</v>
      </c>
    </row>
    <row r="17" spans="1:12" x14ac:dyDescent="0.25">
      <c r="A17" s="720" t="s">
        <v>73</v>
      </c>
      <c r="B17" s="526">
        <f t="shared" si="0"/>
        <v>9623.7062786057995</v>
      </c>
      <c r="C17" s="736">
        <f t="shared" si="1"/>
        <v>9325.5440914960636</v>
      </c>
      <c r="D17" s="737">
        <f t="shared" si="2"/>
        <v>298.16218710973556</v>
      </c>
      <c r="E17" s="487"/>
      <c r="F17" s="720" t="s">
        <v>73</v>
      </c>
      <c r="G17" s="736">
        <f t="shared" si="3"/>
        <v>9325.5440914960636</v>
      </c>
      <c r="H17" s="526">
        <f>'ANNEXE 1 Grille'!B15*$I$26/2</f>
        <v>8257.1967471839071</v>
      </c>
      <c r="I17" s="723">
        <f t="shared" si="4"/>
        <v>1068.3473443121568</v>
      </c>
    </row>
    <row r="18" spans="1:12" x14ac:dyDescent="0.25">
      <c r="A18" s="720" t="s">
        <v>74</v>
      </c>
      <c r="B18" s="526">
        <f t="shared" si="0"/>
        <v>3101.8126397069177</v>
      </c>
      <c r="C18" s="736">
        <f t="shared" si="1"/>
        <v>2803.6504525971823</v>
      </c>
      <c r="D18" s="737">
        <f t="shared" si="2"/>
        <v>298.16218710973556</v>
      </c>
      <c r="E18" s="487"/>
      <c r="F18" s="720" t="s">
        <v>74</v>
      </c>
      <c r="G18" s="736">
        <f t="shared" si="3"/>
        <v>2803.6504525971823</v>
      </c>
      <c r="H18" s="526">
        <f>'ANNEXE 1 Grille'!B16*$I$26/2</f>
        <v>1735.3031082850257</v>
      </c>
      <c r="I18" s="723">
        <f t="shared" si="4"/>
        <v>1068.3473443121568</v>
      </c>
    </row>
    <row r="19" spans="1:12" x14ac:dyDescent="0.25">
      <c r="A19" s="720" t="s">
        <v>75</v>
      </c>
      <c r="B19" s="526">
        <f t="shared" si="0"/>
        <v>4504.684600070118</v>
      </c>
      <c r="C19" s="736">
        <f t="shared" si="1"/>
        <v>4206.5224129603821</v>
      </c>
      <c r="D19" s="737">
        <f t="shared" si="2"/>
        <v>298.16218710973556</v>
      </c>
      <c r="E19" s="487"/>
      <c r="F19" s="720" t="s">
        <v>75</v>
      </c>
      <c r="G19" s="736">
        <f t="shared" si="3"/>
        <v>4206.5224129603821</v>
      </c>
      <c r="H19" s="526">
        <f>'ANNEXE 1 Grille'!B17*$I$26/2</f>
        <v>3138.1750686482251</v>
      </c>
      <c r="I19" s="723">
        <f t="shared" si="4"/>
        <v>1068.3473443121568</v>
      </c>
    </row>
    <row r="20" spans="1:12" x14ac:dyDescent="0.25">
      <c r="A20" s="720" t="s">
        <v>76</v>
      </c>
      <c r="B20" s="526">
        <f t="shared" si="0"/>
        <v>3287.3646195206707</v>
      </c>
      <c r="C20" s="736">
        <f t="shared" si="1"/>
        <v>2989.2024324109352</v>
      </c>
      <c r="D20" s="737">
        <f t="shared" si="2"/>
        <v>298.16218710973556</v>
      </c>
      <c r="E20" s="487"/>
      <c r="F20" s="720" t="s">
        <v>76</v>
      </c>
      <c r="G20" s="736">
        <f t="shared" si="3"/>
        <v>2989.2024324109352</v>
      </c>
      <c r="H20" s="526">
        <f>'ANNEXE 1 Grille'!B18*$I$26/2</f>
        <v>1920.8550880987782</v>
      </c>
      <c r="I20" s="723">
        <f t="shared" si="4"/>
        <v>1068.3473443121568</v>
      </c>
    </row>
    <row r="21" spans="1:12" x14ac:dyDescent="0.25">
      <c r="A21" s="720" t="s">
        <v>77</v>
      </c>
      <c r="B21" s="526">
        <f t="shared" si="0"/>
        <v>0</v>
      </c>
      <c r="C21" s="736">
        <f t="shared" si="1"/>
        <v>0</v>
      </c>
      <c r="D21" s="737">
        <f t="shared" si="2"/>
        <v>0</v>
      </c>
      <c r="E21" s="487"/>
      <c r="F21" s="720" t="s">
        <v>77</v>
      </c>
      <c r="G21" s="736">
        <f t="shared" si="3"/>
        <v>0</v>
      </c>
      <c r="H21" s="526"/>
      <c r="I21" s="723">
        <f>IF(H21&lt;&gt;0,K$27/D$29,H21)</f>
        <v>0</v>
      </c>
    </row>
    <row r="22" spans="1:12" x14ac:dyDescent="0.25">
      <c r="A22" s="620" t="s">
        <v>78</v>
      </c>
      <c r="B22" s="650">
        <f t="shared" si="0"/>
        <v>12171.926567070548</v>
      </c>
      <c r="C22" s="622">
        <f t="shared" si="1"/>
        <v>11873.764379960812</v>
      </c>
      <c r="D22" s="579">
        <f t="shared" si="2"/>
        <v>298.16218710973556</v>
      </c>
      <c r="E22" s="487"/>
      <c r="F22" s="720" t="s">
        <v>78</v>
      </c>
      <c r="G22" s="736">
        <f t="shared" si="3"/>
        <v>11873.764379960812</v>
      </c>
      <c r="H22" s="526">
        <f>'ANNEXE 1 Grille'!B20*$I$26/2</f>
        <v>10805.417035648656</v>
      </c>
      <c r="I22" s="723">
        <f t="shared" si="4"/>
        <v>1068.3473443121568</v>
      </c>
    </row>
    <row r="23" spans="1:12" x14ac:dyDescent="0.25">
      <c r="A23" s="720" t="s">
        <v>79</v>
      </c>
      <c r="B23" s="526">
        <f t="shared" si="0"/>
        <v>0</v>
      </c>
      <c r="C23" s="736">
        <f t="shared" si="1"/>
        <v>0</v>
      </c>
      <c r="D23" s="737">
        <f t="shared" si="2"/>
        <v>0</v>
      </c>
      <c r="E23" s="487"/>
      <c r="F23" s="720" t="s">
        <v>79</v>
      </c>
      <c r="G23" s="736">
        <f t="shared" si="3"/>
        <v>0</v>
      </c>
      <c r="H23" s="526"/>
      <c r="I23" s="723">
        <f>IF(H23&lt;&gt;0,K$27/D$29,H23)</f>
        <v>0</v>
      </c>
    </row>
    <row r="24" spans="1:12" x14ac:dyDescent="0.25">
      <c r="A24" s="720" t="s">
        <v>80</v>
      </c>
      <c r="B24" s="526">
        <f t="shared" si="0"/>
        <v>0</v>
      </c>
      <c r="C24" s="736">
        <f t="shared" si="1"/>
        <v>0</v>
      </c>
      <c r="D24" s="737">
        <f t="shared" si="2"/>
        <v>0</v>
      </c>
      <c r="E24" s="487"/>
      <c r="F24" s="720" t="s">
        <v>80</v>
      </c>
      <c r="G24" s="736">
        <f t="shared" si="3"/>
        <v>0</v>
      </c>
      <c r="H24" s="526"/>
      <c r="I24" s="723"/>
    </row>
    <row r="25" spans="1:12" x14ac:dyDescent="0.25">
      <c r="A25" s="483" t="s">
        <v>188</v>
      </c>
      <c r="B25" s="484">
        <f t="shared" si="0"/>
        <v>102069.16495629039</v>
      </c>
      <c r="C25" s="485">
        <f t="shared" si="1"/>
        <v>102069.16495629039</v>
      </c>
      <c r="D25" s="486"/>
      <c r="E25" s="487"/>
      <c r="F25" s="483" t="s">
        <v>188</v>
      </c>
      <c r="G25" s="488">
        <f>I26/2</f>
        <v>102069.16495629039</v>
      </c>
      <c r="H25" s="484">
        <f>I26/2</f>
        <v>102069.16495629039</v>
      </c>
      <c r="I25" s="489"/>
    </row>
    <row r="26" spans="1:12" ht="45" x14ac:dyDescent="0.25">
      <c r="A26" s="491" t="s">
        <v>239</v>
      </c>
      <c r="B26" s="492">
        <f t="shared" si="0"/>
        <v>208312.60053211707</v>
      </c>
      <c r="C26" s="490">
        <f>SUM(C4:C25)</f>
        <v>204138.32991258078</v>
      </c>
      <c r="D26" s="490">
        <f>SUM(D4:D25)</f>
        <v>4174.2706195362971</v>
      </c>
      <c r="E26" s="738"/>
      <c r="F26" s="491" t="s">
        <v>239</v>
      </c>
      <c r="G26" s="490">
        <f>SUM(G4:G25)</f>
        <v>204138.32991258078</v>
      </c>
      <c r="H26" s="493">
        <f>SUM(H4:I25)</f>
        <v>204138.32991258081</v>
      </c>
      <c r="I26" s="494">
        <f>C32</f>
        <v>204138.32991258078</v>
      </c>
    </row>
    <row r="27" spans="1:12" ht="30" x14ac:dyDescent="0.25">
      <c r="A27" s="495"/>
      <c r="B27" s="496"/>
      <c r="C27" s="497"/>
      <c r="D27" s="497"/>
      <c r="E27" s="497"/>
      <c r="F27" s="739"/>
      <c r="G27" s="739"/>
      <c r="H27" s="740"/>
      <c r="I27" s="740"/>
      <c r="J27" s="798" t="s">
        <v>443</v>
      </c>
      <c r="K27" s="797">
        <f>(I26/2)-SUM(H4:H24)</f>
        <v>14956.862820370196</v>
      </c>
      <c r="L27" s="452"/>
    </row>
    <row r="28" spans="1:12" x14ac:dyDescent="0.25">
      <c r="A28" s="498" t="s">
        <v>240</v>
      </c>
      <c r="B28" s="499">
        <f>SUM(B4:B25)</f>
        <v>208312.60053211707</v>
      </c>
      <c r="C28" s="499">
        <f>SUM(C4:C25)</f>
        <v>204138.32991258078</v>
      </c>
      <c r="D28" s="499">
        <f>SUM(D4:D25)</f>
        <v>4174.2706195362971</v>
      </c>
      <c r="E28" s="741"/>
      <c r="F28" s="741"/>
      <c r="G28" s="741"/>
      <c r="H28" s="742"/>
      <c r="I28" s="743"/>
      <c r="J28" s="453"/>
    </row>
    <row r="29" spans="1:12" x14ac:dyDescent="0.25">
      <c r="A29" s="743"/>
      <c r="B29" s="743"/>
      <c r="C29" s="744"/>
      <c r="D29" s="744"/>
      <c r="E29" s="744"/>
      <c r="F29" s="744"/>
      <c r="G29" s="744"/>
      <c r="H29" s="743"/>
      <c r="I29" s="743"/>
    </row>
    <row r="30" spans="1:12" ht="15" customHeight="1" x14ac:dyDescent="0.25">
      <c r="A30" s="895" t="s">
        <v>302</v>
      </c>
      <c r="B30" s="895"/>
      <c r="C30" s="745">
        <f>SUBTOTAL(3,H4:H23)</f>
        <v>14</v>
      </c>
      <c r="D30" s="743"/>
      <c r="E30" s="743"/>
      <c r="F30" s="743"/>
      <c r="G30" s="743"/>
      <c r="H30" s="743"/>
      <c r="I30" s="743"/>
    </row>
    <row r="31" spans="1:12" ht="15" customHeight="1" x14ac:dyDescent="0.25">
      <c r="A31" s="896" t="s">
        <v>242</v>
      </c>
      <c r="B31" s="896"/>
      <c r="C31" s="896"/>
      <c r="D31" s="743"/>
      <c r="E31" s="743"/>
      <c r="F31" s="743"/>
      <c r="G31" s="743"/>
      <c r="H31" s="743"/>
      <c r="I31" s="743"/>
    </row>
    <row r="32" spans="1:12" x14ac:dyDescent="0.25">
      <c r="A32" s="903" t="s">
        <v>319</v>
      </c>
      <c r="B32" s="904"/>
      <c r="C32" s="490">
        <f>C34*C36</f>
        <v>204138.32991258078</v>
      </c>
      <c r="D32" s="743"/>
      <c r="E32" s="743"/>
      <c r="F32" s="743"/>
      <c r="G32" s="743"/>
      <c r="H32" s="743"/>
      <c r="I32" s="743"/>
    </row>
    <row r="33" spans="1:9" x14ac:dyDescent="0.25">
      <c r="A33" s="903" t="s">
        <v>245</v>
      </c>
      <c r="B33" s="904"/>
      <c r="C33" s="490">
        <f>C32*1.2</f>
        <v>244965.99589509692</v>
      </c>
      <c r="D33" s="743"/>
      <c r="E33" s="746"/>
      <c r="F33" s="743"/>
      <c r="G33" s="743"/>
      <c r="H33" s="743"/>
      <c r="I33" s="743"/>
    </row>
    <row r="34" spans="1:9" x14ac:dyDescent="0.25">
      <c r="A34" s="901" t="s">
        <v>305</v>
      </c>
      <c r="B34" s="902"/>
      <c r="C34" s="490">
        <v>195518</v>
      </c>
      <c r="D34" s="743"/>
      <c r="E34" s="743"/>
      <c r="F34" s="743"/>
      <c r="G34" s="743"/>
      <c r="H34" s="743"/>
      <c r="I34" s="743"/>
    </row>
    <row r="35" spans="1:9" x14ac:dyDescent="0.25">
      <c r="A35" s="901" t="s">
        <v>247</v>
      </c>
      <c r="B35" s="902"/>
      <c r="C35" s="490">
        <f>C34*1.2</f>
        <v>234621.6</v>
      </c>
      <c r="D35" s="743"/>
      <c r="E35" s="743"/>
      <c r="F35" s="743"/>
      <c r="G35" s="743"/>
      <c r="H35" s="743"/>
      <c r="I35" s="743"/>
    </row>
    <row r="36" spans="1:9" x14ac:dyDescent="0.25">
      <c r="A36" s="901" t="s">
        <v>320</v>
      </c>
      <c r="B36" s="902"/>
      <c r="C36" s="501">
        <f>2747/2631</f>
        <v>1.0440896997339415</v>
      </c>
      <c r="D36" s="743"/>
      <c r="E36" s="743"/>
      <c r="F36" s="743"/>
      <c r="G36" s="743"/>
      <c r="H36" s="743"/>
      <c r="I36" s="743"/>
    </row>
    <row r="37" spans="1:9" x14ac:dyDescent="0.25">
      <c r="A37" s="741"/>
      <c r="B37" s="741"/>
      <c r="C37" s="741"/>
      <c r="D37" s="743"/>
      <c r="E37" s="743"/>
      <c r="F37" s="743"/>
      <c r="G37" s="743"/>
      <c r="H37" s="743"/>
      <c r="I37" s="743"/>
    </row>
    <row r="38" spans="1:9" x14ac:dyDescent="0.25">
      <c r="A38" s="897" t="s">
        <v>321</v>
      </c>
      <c r="B38" s="897"/>
      <c r="C38" s="897"/>
      <c r="D38" s="743"/>
      <c r="E38" s="743"/>
      <c r="F38" s="743"/>
      <c r="G38" s="743"/>
      <c r="H38" s="743"/>
      <c r="I38" s="743"/>
    </row>
    <row r="39" spans="1:9" x14ac:dyDescent="0.25">
      <c r="A39" s="892" t="s">
        <v>322</v>
      </c>
      <c r="B39" s="893"/>
      <c r="C39" s="480">
        <f>C40*C36</f>
        <v>4174.270619536298</v>
      </c>
      <c r="D39" s="743"/>
      <c r="E39" s="743"/>
      <c r="F39" s="743"/>
      <c r="G39" s="743"/>
      <c r="H39" s="743"/>
      <c r="I39" s="743"/>
    </row>
    <row r="40" spans="1:9" x14ac:dyDescent="0.25">
      <c r="A40" s="890" t="s">
        <v>323</v>
      </c>
      <c r="B40" s="891"/>
      <c r="C40" s="490">
        <v>3998</v>
      </c>
      <c r="D40" s="743"/>
      <c r="E40" s="743"/>
      <c r="F40" s="743"/>
      <c r="G40" s="743"/>
      <c r="H40" s="743"/>
      <c r="I40" s="743"/>
    </row>
  </sheetData>
  <mergeCells count="15">
    <mergeCell ref="A40:B40"/>
    <mergeCell ref="A39:B39"/>
    <mergeCell ref="G2:I2"/>
    <mergeCell ref="A30:B30"/>
    <mergeCell ref="A31:C31"/>
    <mergeCell ref="A38:C38"/>
    <mergeCell ref="A1:A3"/>
    <mergeCell ref="B1:D1"/>
    <mergeCell ref="F1:F3"/>
    <mergeCell ref="B2:D2"/>
    <mergeCell ref="A34:B34"/>
    <mergeCell ref="A35:B35"/>
    <mergeCell ref="A36:B36"/>
    <mergeCell ref="A32:B32"/>
    <mergeCell ref="A33:B3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0"/>
  <sheetViews>
    <sheetView workbookViewId="0">
      <selection sqref="A1:A3"/>
    </sheetView>
  </sheetViews>
  <sheetFormatPr baseColWidth="10" defaultColWidth="9.140625" defaultRowHeight="15" x14ac:dyDescent="0.25"/>
  <cols>
    <col min="1" max="1" width="26.140625" style="188" customWidth="1"/>
    <col min="2" max="2" width="0" style="188" hidden="1" customWidth="1"/>
    <col min="3" max="3" width="0" style="477" hidden="1" customWidth="1"/>
    <col min="4" max="4" width="1" style="477" hidden="1" customWidth="1"/>
    <col min="5" max="5" width="9.140625" style="264"/>
    <col min="6" max="6" width="13.140625" style="477" customWidth="1"/>
    <col min="7" max="7" width="11" style="477" customWidth="1"/>
    <col min="8" max="8" width="11.140625" style="477" customWidth="1"/>
    <col min="9" max="9" width="9.140625" style="264"/>
    <col min="10" max="11" width="9.140625" style="188"/>
    <col min="12" max="12" width="12.42578125" style="188" customWidth="1"/>
    <col min="13" max="16384" width="9.140625" style="188"/>
  </cols>
  <sheetData>
    <row r="1" spans="1:14" ht="42" customHeight="1" x14ac:dyDescent="0.25">
      <c r="A1" s="905" t="s">
        <v>234</v>
      </c>
      <c r="B1" s="906" t="s">
        <v>324</v>
      </c>
      <c r="C1" s="906"/>
      <c r="D1" s="906"/>
      <c r="E1" s="747"/>
      <c r="F1" s="907" t="s">
        <v>325</v>
      </c>
      <c r="G1" s="907"/>
      <c r="H1" s="907"/>
      <c r="I1" s="652"/>
      <c r="J1" s="652"/>
      <c r="K1" s="917" t="s">
        <v>326</v>
      </c>
      <c r="L1" s="917"/>
      <c r="M1" s="917"/>
      <c r="N1" s="293"/>
    </row>
    <row r="2" spans="1:14" x14ac:dyDescent="0.25">
      <c r="A2" s="905"/>
      <c r="B2" s="908">
        <v>2018</v>
      </c>
      <c r="C2" s="908"/>
      <c r="D2" s="908"/>
      <c r="E2" s="743"/>
      <c r="F2" s="909">
        <v>2021</v>
      </c>
      <c r="G2" s="909"/>
      <c r="H2" s="909"/>
      <c r="I2" s="652"/>
      <c r="J2" s="652"/>
      <c r="K2" s="918">
        <v>2021</v>
      </c>
      <c r="L2" s="919"/>
      <c r="M2" s="908"/>
      <c r="N2" s="293"/>
    </row>
    <row r="3" spans="1:14" ht="77.25" customHeight="1" x14ac:dyDescent="0.25">
      <c r="A3" s="905"/>
      <c r="B3" s="748" t="s">
        <v>298</v>
      </c>
      <c r="C3" s="749" t="s">
        <v>299</v>
      </c>
      <c r="D3" s="749" t="s">
        <v>300</v>
      </c>
      <c r="E3" s="743"/>
      <c r="F3" s="750" t="s">
        <v>298</v>
      </c>
      <c r="G3" s="749" t="s">
        <v>299</v>
      </c>
      <c r="H3" s="749" t="s">
        <v>300</v>
      </c>
      <c r="I3" s="652"/>
      <c r="J3" s="652"/>
      <c r="K3" s="750" t="s">
        <v>298</v>
      </c>
      <c r="L3" s="749" t="s">
        <v>299</v>
      </c>
      <c r="M3" s="749" t="s">
        <v>300</v>
      </c>
      <c r="N3" s="293"/>
    </row>
    <row r="4" spans="1:14" x14ac:dyDescent="0.25">
      <c r="A4" s="751" t="s">
        <v>60</v>
      </c>
      <c r="B4" s="576" t="e">
        <f t="shared" ref="B4:B24" si="0">C4+D4</f>
        <v>#REF!</v>
      </c>
      <c r="C4" s="752">
        <f>'ANNEXE 1 Grille'!B2*($C$26-$C$24)</f>
        <v>9862.4755601070428</v>
      </c>
      <c r="D4" s="576" t="e">
        <f t="shared" ref="D4:D23" si="1">IF(C4&lt;&gt;0,$D$26/C$28,C4)</f>
        <v>#REF!</v>
      </c>
      <c r="E4" s="743"/>
      <c r="F4" s="598">
        <f>G4+H4</f>
        <v>2337.5226387346547</v>
      </c>
      <c r="G4" s="580">
        <f>($F$26-$G$25)*'ANNEXE 1 Grille'!B2</f>
        <v>2133.3464859453238</v>
      </c>
      <c r="H4" s="579">
        <f>IF(G4&lt;&gt;0,$H$26/G$28,G4)</f>
        <v>204.17615278933081</v>
      </c>
      <c r="I4" s="652"/>
      <c r="J4" s="652"/>
      <c r="K4" s="598">
        <f>L4+M4</f>
        <v>1079.4713750579433</v>
      </c>
      <c r="L4" s="580">
        <f>($K$26-$L$25)*'ANNEXE 1 Grille'!B2</f>
        <v>1075.1395123977843</v>
      </c>
      <c r="M4" s="579">
        <f>IF(L4&lt;&gt;0,$M$26/L$28,L4)</f>
        <v>4.3318626601590946</v>
      </c>
      <c r="N4" s="293"/>
    </row>
    <row r="5" spans="1:14" x14ac:dyDescent="0.25">
      <c r="A5" s="751" t="s">
        <v>61</v>
      </c>
      <c r="B5" s="576" t="e">
        <f t="shared" si="0"/>
        <v>#REF!</v>
      </c>
      <c r="C5" s="752" t="e">
        <f>'ANNEXE 1 Grille'!#REF!*($C$26-$C$24)</f>
        <v>#REF!</v>
      </c>
      <c r="D5" s="576" t="e">
        <f t="shared" si="1"/>
        <v>#REF!</v>
      </c>
      <c r="E5" s="743"/>
      <c r="F5" s="598">
        <f t="shared" ref="F5:F23" si="2">G5+H5</f>
        <v>1532.989209594693</v>
      </c>
      <c r="G5" s="580">
        <f>($F$26-$G$25)*'ANNEXE 1 Grille'!B3</f>
        <v>1328.8130568053621</v>
      </c>
      <c r="H5" s="579">
        <f t="shared" ref="H5:H23" si="3">IF(G5&lt;&gt;0,$H$26/G$28,G5)</f>
        <v>204.17615278933081</v>
      </c>
      <c r="I5" s="652"/>
      <c r="J5" s="652"/>
      <c r="K5" s="598">
        <f t="shared" ref="K5:K23" si="4">L5+M5</f>
        <v>674.01183793546545</v>
      </c>
      <c r="L5" s="580">
        <f>($K$26-$L$25)*'ANNEXE 1 Grille'!B3</f>
        <v>669.67997527530633</v>
      </c>
      <c r="M5" s="579">
        <f t="shared" ref="M5:M24" si="5">IF(L5&lt;&gt;0,$M$26/L$28,L5)</f>
        <v>4.3318626601590946</v>
      </c>
      <c r="N5" s="293"/>
    </row>
    <row r="6" spans="1:14" ht="14.45" customHeight="1" x14ac:dyDescent="0.25">
      <c r="A6" s="751" t="s">
        <v>62</v>
      </c>
      <c r="B6" s="576" t="e">
        <f t="shared" si="0"/>
        <v>#REF!</v>
      </c>
      <c r="C6" s="752" t="e">
        <f>'ANNEXE 1 Grille'!#REF!*($C$26-$C$24)</f>
        <v>#REF!</v>
      </c>
      <c r="D6" s="576" t="e">
        <f t="shared" si="1"/>
        <v>#REF!</v>
      </c>
      <c r="E6" s="743"/>
      <c r="F6" s="598">
        <f t="shared" si="2"/>
        <v>884.44301650949524</v>
      </c>
      <c r="G6" s="580">
        <f>($F$26-$G$25)*'ANNEXE 1 Grille'!B4</f>
        <v>680.26686372016445</v>
      </c>
      <c r="H6" s="579">
        <f t="shared" si="3"/>
        <v>204.17615278933081</v>
      </c>
      <c r="I6" s="652"/>
      <c r="J6" s="652"/>
      <c r="K6" s="598">
        <f t="shared" si="4"/>
        <v>347.16496032098246</v>
      </c>
      <c r="L6" s="580">
        <f>($K$26-$L$25)*'ANNEXE 1 Grille'!B4</f>
        <v>342.83309766082334</v>
      </c>
      <c r="M6" s="579">
        <f t="shared" si="5"/>
        <v>4.3318626601590946</v>
      </c>
      <c r="N6" s="293"/>
    </row>
    <row r="7" spans="1:14" ht="14.45" customHeight="1" x14ac:dyDescent="0.25">
      <c r="A7" s="751" t="s">
        <v>63</v>
      </c>
      <c r="B7" s="576" t="e">
        <f t="shared" si="0"/>
        <v>#REF!</v>
      </c>
      <c r="C7" s="752" t="e">
        <f>'ANNEXE 1 Grille'!#REF!*($C$26-$C$24)</f>
        <v>#REF!</v>
      </c>
      <c r="D7" s="576" t="e">
        <f t="shared" si="1"/>
        <v>#REF!</v>
      </c>
      <c r="E7" s="753"/>
      <c r="F7" s="598">
        <f t="shared" si="2"/>
        <v>7831.9834112470962</v>
      </c>
      <c r="G7" s="580">
        <f>($F$26-$G$25)*'ANNEXE 1 Grille'!B5</f>
        <v>7627.8072584577658</v>
      </c>
      <c r="H7" s="579">
        <f t="shared" si="3"/>
        <v>204.17615278933081</v>
      </c>
      <c r="I7" s="652"/>
      <c r="J7" s="652"/>
      <c r="K7" s="598">
        <f t="shared" si="4"/>
        <v>3848.5067449641797</v>
      </c>
      <c r="L7" s="580">
        <f>($K$26-$L$25)*'ANNEXE 1 Grille'!B5</f>
        <v>3844.1748823040207</v>
      </c>
      <c r="M7" s="579">
        <f t="shared" si="5"/>
        <v>4.3318626601590946</v>
      </c>
      <c r="N7" s="293"/>
    </row>
    <row r="8" spans="1:14" ht="14.45" customHeight="1" x14ac:dyDescent="0.25">
      <c r="A8" s="754" t="s">
        <v>64</v>
      </c>
      <c r="B8" s="576" t="e">
        <f t="shared" si="0"/>
        <v>#REF!</v>
      </c>
      <c r="C8" s="752" t="e">
        <f>'ANNEXE 1 Grille'!#REF!*($C$26-$C$24)</f>
        <v>#REF!</v>
      </c>
      <c r="D8" s="576" t="e">
        <f t="shared" si="1"/>
        <v>#REF!</v>
      </c>
      <c r="E8" s="753"/>
      <c r="F8" s="598">
        <f t="shared" si="2"/>
        <v>3898.3574486813736</v>
      </c>
      <c r="G8" s="580">
        <f>($F$26-$G$25)*'ANNEXE 1 Grille'!B6</f>
        <v>3694.1812958920427</v>
      </c>
      <c r="H8" s="579">
        <f t="shared" si="3"/>
        <v>204.17615278933081</v>
      </c>
      <c r="I8" s="652"/>
      <c r="J8" s="652"/>
      <c r="K8" s="598">
        <f t="shared" si="4"/>
        <v>1866.0830143557205</v>
      </c>
      <c r="L8" s="580">
        <f>($K$26-$L$25)*'ANNEXE 1 Grille'!B6</f>
        <v>1861.7511516955615</v>
      </c>
      <c r="M8" s="579">
        <f t="shared" si="5"/>
        <v>4.3318626601590946</v>
      </c>
      <c r="N8" s="293"/>
    </row>
    <row r="9" spans="1:14" ht="14.45" customHeight="1" x14ac:dyDescent="0.25">
      <c r="A9" s="754" t="s">
        <v>65</v>
      </c>
      <c r="B9" s="576" t="e">
        <f t="shared" si="0"/>
        <v>#REF!</v>
      </c>
      <c r="C9" s="752" t="e">
        <f>'ANNEXE 1 Grille'!#REF!*($C$26-$C$24)</f>
        <v>#REF!</v>
      </c>
      <c r="D9" s="576" t="e">
        <f t="shared" si="1"/>
        <v>#REF!</v>
      </c>
      <c r="E9" s="578"/>
      <c r="F9" s="579">
        <f t="shared" si="2"/>
        <v>415.0700874248069</v>
      </c>
      <c r="G9" s="580">
        <f>($F$26-$G$25)*'ANNEXE 1 Grille'!B7</f>
        <v>210.89393463547609</v>
      </c>
      <c r="H9" s="579">
        <f t="shared" si="3"/>
        <v>204.17615278933081</v>
      </c>
      <c r="I9" s="652"/>
      <c r="J9" s="652"/>
      <c r="K9" s="598">
        <f t="shared" si="4"/>
        <v>110.61577085107972</v>
      </c>
      <c r="L9" s="580">
        <f>($K$26-$L$25)*'ANNEXE 1 Grille'!B7</f>
        <v>106.28390819092063</v>
      </c>
      <c r="M9" s="579">
        <f t="shared" si="5"/>
        <v>4.3318626601590946</v>
      </c>
      <c r="N9" s="293"/>
    </row>
    <row r="10" spans="1:14" ht="14.45" customHeight="1" x14ac:dyDescent="0.25">
      <c r="A10" s="754" t="s">
        <v>66</v>
      </c>
      <c r="B10" s="576" t="e">
        <f t="shared" si="0"/>
        <v>#REF!</v>
      </c>
      <c r="C10" s="752" t="e">
        <f>'ANNEXE 1 Grille'!#REF!*($C$26-$C$24)</f>
        <v>#REF!</v>
      </c>
      <c r="D10" s="576" t="e">
        <f t="shared" si="1"/>
        <v>#REF!</v>
      </c>
      <c r="E10" s="578"/>
      <c r="F10" s="579">
        <f t="shared" si="2"/>
        <v>1210.545790358701</v>
      </c>
      <c r="G10" s="580">
        <f>($F$26-$G$25)*'ANNEXE 1 Grille'!B8</f>
        <v>1006.3696375693701</v>
      </c>
      <c r="H10" s="579">
        <f t="shared" si="3"/>
        <v>204.17615278933081</v>
      </c>
      <c r="I10" s="652"/>
      <c r="J10" s="652"/>
      <c r="K10" s="598">
        <f t="shared" si="4"/>
        <v>511.51049892787222</v>
      </c>
      <c r="L10" s="580">
        <f>($K$26-$L$25)*'ANNEXE 1 Grille'!B8</f>
        <v>507.1786362677131</v>
      </c>
      <c r="M10" s="579">
        <f t="shared" si="5"/>
        <v>4.3318626601590946</v>
      </c>
      <c r="N10" s="293"/>
    </row>
    <row r="11" spans="1:14" ht="14.45" customHeight="1" x14ac:dyDescent="0.25">
      <c r="A11" s="754" t="s">
        <v>67</v>
      </c>
      <c r="B11" s="576" t="e">
        <f t="shared" si="0"/>
        <v>#REF!</v>
      </c>
      <c r="C11" s="752" t="e">
        <f>'ANNEXE 1 Grille'!#REF!*($C$26-$C$24)</f>
        <v>#REF!</v>
      </c>
      <c r="D11" s="576" t="e">
        <f t="shared" si="1"/>
        <v>#REF!</v>
      </c>
      <c r="E11" s="578"/>
      <c r="F11" s="579">
        <f t="shared" si="2"/>
        <v>618.18725067028925</v>
      </c>
      <c r="G11" s="580">
        <f>($F$26-$G$25)*'ANNEXE 1 Grille'!B9</f>
        <v>414.01109788095846</v>
      </c>
      <c r="H11" s="579">
        <f t="shared" si="3"/>
        <v>204.17615278933081</v>
      </c>
      <c r="I11" s="652"/>
      <c r="J11" s="652"/>
      <c r="K11" s="598">
        <f t="shared" si="4"/>
        <v>212.98043092391421</v>
      </c>
      <c r="L11" s="580">
        <f>($K$26-$L$25)*'ANNEXE 1 Grille'!B9</f>
        <v>208.64856826375512</v>
      </c>
      <c r="M11" s="579">
        <f t="shared" si="5"/>
        <v>4.3318626601590946</v>
      </c>
      <c r="N11" s="293"/>
    </row>
    <row r="12" spans="1:14" ht="14.45" customHeight="1" x14ac:dyDescent="0.25">
      <c r="A12" s="754" t="s">
        <v>68</v>
      </c>
      <c r="B12" s="576" t="e">
        <f t="shared" si="0"/>
        <v>#REF!</v>
      </c>
      <c r="C12" s="752" t="e">
        <f>'ANNEXE 1 Grille'!#REF!*($C$26-$C$24)</f>
        <v>#REF!</v>
      </c>
      <c r="D12" s="576" t="e">
        <f t="shared" si="1"/>
        <v>#REF!</v>
      </c>
      <c r="E12" s="578"/>
      <c r="F12" s="579">
        <f t="shared" si="2"/>
        <v>7412.4358763241135</v>
      </c>
      <c r="G12" s="580">
        <f>($F$26-$G$25)*'ANNEXE 1 Grille'!B10</f>
        <v>7208.259723534783</v>
      </c>
      <c r="H12" s="579">
        <f t="shared" si="3"/>
        <v>204.17615278933081</v>
      </c>
      <c r="I12" s="652"/>
      <c r="J12" s="652"/>
      <c r="K12" s="598">
        <f t="shared" si="4"/>
        <v>3637.0679866112864</v>
      </c>
      <c r="L12" s="580">
        <f>($K$26-$L$25)*'ANNEXE 1 Grille'!B10</f>
        <v>3632.7361239511274</v>
      </c>
      <c r="M12" s="579">
        <f t="shared" si="5"/>
        <v>4.3318626601590946</v>
      </c>
      <c r="N12" s="293"/>
    </row>
    <row r="13" spans="1:14" ht="14.45" customHeight="1" x14ac:dyDescent="0.25">
      <c r="A13" s="751" t="s">
        <v>69</v>
      </c>
      <c r="B13" s="576" t="e">
        <f t="shared" si="0"/>
        <v>#REF!</v>
      </c>
      <c r="C13" s="752" t="e">
        <f>'ANNEXE 1 Grille'!#REF!*($C$26-$C$24)</f>
        <v>#REF!</v>
      </c>
      <c r="D13" s="576" t="e">
        <f t="shared" si="1"/>
        <v>#REF!</v>
      </c>
      <c r="E13" s="578"/>
      <c r="F13" s="579">
        <f t="shared" si="2"/>
        <v>3935.8362746869311</v>
      </c>
      <c r="G13" s="580">
        <f>($F$26-$G$25)*'ANNEXE 1 Grille'!B11</f>
        <v>3731.6601218976002</v>
      </c>
      <c r="H13" s="579">
        <f t="shared" si="3"/>
        <v>204.17615278933081</v>
      </c>
      <c r="I13" s="652"/>
      <c r="J13" s="652"/>
      <c r="K13" s="598">
        <f t="shared" si="4"/>
        <v>1884.9711635533886</v>
      </c>
      <c r="L13" s="580">
        <f>($K$26-$L$25)*'ANNEXE 1 Grille'!B11</f>
        <v>1880.6393008932296</v>
      </c>
      <c r="M13" s="579">
        <f t="shared" si="5"/>
        <v>4.3318626601590946</v>
      </c>
      <c r="N13" s="293"/>
    </row>
    <row r="14" spans="1:14" ht="14.45" customHeight="1" x14ac:dyDescent="0.25">
      <c r="A14" s="754" t="s">
        <v>70</v>
      </c>
      <c r="B14" s="576" t="e">
        <f t="shared" si="0"/>
        <v>#REF!</v>
      </c>
      <c r="C14" s="752" t="e">
        <f>'ANNEXE 1 Grille'!#REF!*($C$26-$C$24)</f>
        <v>#REF!</v>
      </c>
      <c r="D14" s="576" t="e">
        <f t="shared" si="1"/>
        <v>#REF!</v>
      </c>
      <c r="E14" s="578"/>
      <c r="F14" s="579">
        <f t="shared" si="2"/>
        <v>3500.9477364199383</v>
      </c>
      <c r="G14" s="580">
        <f>($F$26-$G$25)*'ANNEXE 1 Grille'!B12</f>
        <v>3296.7715836306074</v>
      </c>
      <c r="H14" s="579">
        <f t="shared" si="3"/>
        <v>204.17615278933081</v>
      </c>
      <c r="I14" s="652"/>
      <c r="J14" s="652"/>
      <c r="K14" s="598">
        <f t="shared" si="4"/>
        <v>1665.8010221534214</v>
      </c>
      <c r="L14" s="580">
        <f>($K$26-$L$25)*'ANNEXE 1 Grille'!B12</f>
        <v>1661.4691594932624</v>
      </c>
      <c r="M14" s="579">
        <f t="shared" si="5"/>
        <v>4.3318626601590946</v>
      </c>
      <c r="N14" s="293"/>
    </row>
    <row r="15" spans="1:14" ht="14.45" customHeight="1" x14ac:dyDescent="0.25">
      <c r="A15" s="754" t="s">
        <v>71</v>
      </c>
      <c r="B15" s="576" t="e">
        <f t="shared" si="0"/>
        <v>#REF!</v>
      </c>
      <c r="C15" s="752" t="e">
        <f>'ANNEXE 1 Grille'!#REF!*($C$26-$C$24)</f>
        <v>#REF!</v>
      </c>
      <c r="D15" s="576" t="e">
        <f t="shared" si="1"/>
        <v>#REF!</v>
      </c>
      <c r="E15" s="578"/>
      <c r="F15" s="579">
        <f t="shared" si="2"/>
        <v>414.58334895814107</v>
      </c>
      <c r="G15" s="580">
        <f>($F$26-$G$25)*'ANNEXE 1 Grille'!B13</f>
        <v>210.40719616881029</v>
      </c>
      <c r="H15" s="579">
        <f t="shared" si="3"/>
        <v>204.17615278933081</v>
      </c>
      <c r="I15" s="652"/>
      <c r="J15" s="652"/>
      <c r="K15" s="598">
        <f t="shared" si="4"/>
        <v>110.37046997700045</v>
      </c>
      <c r="L15" s="580">
        <f>($K$26-$L$25)*'ANNEXE 1 Grille'!B13</f>
        <v>106.03860731684136</v>
      </c>
      <c r="M15" s="579">
        <f t="shared" si="5"/>
        <v>4.3318626601590946</v>
      </c>
      <c r="N15" s="293"/>
    </row>
    <row r="16" spans="1:14" ht="14.45" customHeight="1" x14ac:dyDescent="0.25">
      <c r="A16" s="754" t="s">
        <v>72</v>
      </c>
      <c r="B16" s="576" t="e">
        <f t="shared" si="0"/>
        <v>#REF!</v>
      </c>
      <c r="C16" s="752" t="e">
        <f>'ANNEXE 1 Grille'!#REF!*($C$26-$C$24)</f>
        <v>#REF!</v>
      </c>
      <c r="D16" s="576" t="e">
        <f t="shared" si="1"/>
        <v>#REF!</v>
      </c>
      <c r="E16" s="578"/>
      <c r="F16" s="579">
        <f t="shared" si="2"/>
        <v>2127.5194422402888</v>
      </c>
      <c r="G16" s="580">
        <f>($F$26-$G$25)*'ANNEXE 1 Grille'!B14</f>
        <v>1923.3432894509579</v>
      </c>
      <c r="H16" s="579">
        <f t="shared" si="3"/>
        <v>204.17615278933081</v>
      </c>
      <c r="I16" s="652"/>
      <c r="J16" s="652"/>
      <c r="K16" s="598">
        <f t="shared" si="4"/>
        <v>973.63637086691972</v>
      </c>
      <c r="L16" s="580">
        <f>($K$26-$L$25)*'ANNEXE 1 Grille'!B14</f>
        <v>969.3045082067606</v>
      </c>
      <c r="M16" s="579">
        <f t="shared" si="5"/>
        <v>4.3318626601590946</v>
      </c>
      <c r="N16" s="293"/>
    </row>
    <row r="17" spans="1:15" ht="14.45" customHeight="1" x14ac:dyDescent="0.25">
      <c r="A17" s="754" t="s">
        <v>73</v>
      </c>
      <c r="B17" s="576" t="e">
        <f t="shared" si="0"/>
        <v>#REF!</v>
      </c>
      <c r="C17" s="752" t="e">
        <f>'ANNEXE 1 Grille'!#REF!*($C$26-$C$24)</f>
        <v>#REF!</v>
      </c>
      <c r="D17" s="576" t="e">
        <f t="shared" si="1"/>
        <v>#REF!</v>
      </c>
      <c r="E17" s="578"/>
      <c r="F17" s="579">
        <f t="shared" si="2"/>
        <v>4316.4439622302971</v>
      </c>
      <c r="G17" s="580">
        <f>($F$26-$G$25)*'ANNEXE 1 Grille'!B15</f>
        <v>4112.2678094409666</v>
      </c>
      <c r="H17" s="579">
        <f t="shared" si="3"/>
        <v>204.17615278933081</v>
      </c>
      <c r="I17" s="652"/>
      <c r="J17" s="652"/>
      <c r="K17" s="598">
        <f t="shared" si="4"/>
        <v>2076.7854639008056</v>
      </c>
      <c r="L17" s="580">
        <f>($K$26-$L$25)*'ANNEXE 1 Grille'!B15</f>
        <v>2072.4536012406465</v>
      </c>
      <c r="M17" s="579">
        <f t="shared" si="5"/>
        <v>4.3318626601590946</v>
      </c>
      <c r="N17" s="293"/>
    </row>
    <row r="18" spans="1:15" ht="14.45" customHeight="1" x14ac:dyDescent="0.25">
      <c r="A18" s="754" t="s">
        <v>74</v>
      </c>
      <c r="B18" s="576" t="e">
        <f t="shared" si="0"/>
        <v>#REF!</v>
      </c>
      <c r="C18" s="752" t="e">
        <f>'ANNEXE 1 Grille'!#REF!*($C$26-$C$24)</f>
        <v>#REF!</v>
      </c>
      <c r="D18" s="576" t="e">
        <f t="shared" si="1"/>
        <v>#REF!</v>
      </c>
      <c r="E18" s="578"/>
      <c r="F18" s="579">
        <f t="shared" si="2"/>
        <v>1068.3957336364367</v>
      </c>
      <c r="G18" s="580">
        <f>($F$26-$G$25)*'ANNEXE 1 Grille'!B16</f>
        <v>864.21958084710593</v>
      </c>
      <c r="H18" s="579">
        <f t="shared" si="3"/>
        <v>204.17615278933081</v>
      </c>
      <c r="I18" s="652"/>
      <c r="J18" s="652"/>
      <c r="K18" s="598">
        <f t="shared" si="4"/>
        <v>439.87134247646713</v>
      </c>
      <c r="L18" s="580">
        <f>($K$26-$L$25)*'ANNEXE 1 Grille'!B16</f>
        <v>435.53947981630802</v>
      </c>
      <c r="M18" s="579">
        <f t="shared" si="5"/>
        <v>4.3318626601590946</v>
      </c>
      <c r="N18" s="293"/>
    </row>
    <row r="19" spans="1:15" ht="14.45" customHeight="1" x14ac:dyDescent="0.25">
      <c r="A19" s="751" t="s">
        <v>75</v>
      </c>
      <c r="B19" s="576" t="e">
        <f t="shared" si="0"/>
        <v>#REF!</v>
      </c>
      <c r="C19" s="752" t="e">
        <f>'ANNEXE 1 Grille'!#REF!*($C$26-$C$24)</f>
        <v>#REF!</v>
      </c>
      <c r="D19" s="576" t="e">
        <f t="shared" si="1"/>
        <v>#REF!</v>
      </c>
      <c r="E19" s="578"/>
      <c r="F19" s="579">
        <f t="shared" si="2"/>
        <v>1767.0572019291021</v>
      </c>
      <c r="G19" s="580">
        <f>($F$26-$G$25)*'ANNEXE 1 Grille'!B17</f>
        <v>1562.8810491397712</v>
      </c>
      <c r="H19" s="579">
        <f>IF(G19&lt;&gt;0,$H$26/G$28,G19)</f>
        <v>204.17615278933081</v>
      </c>
      <c r="I19" s="652"/>
      <c r="J19" s="652"/>
      <c r="K19" s="598">
        <f t="shared" si="4"/>
        <v>791.97474213517023</v>
      </c>
      <c r="L19" s="580">
        <f>($K$26-$L$25)*'ANNEXE 1 Grille'!B17</f>
        <v>787.64287947501111</v>
      </c>
      <c r="M19" s="579">
        <f t="shared" si="5"/>
        <v>4.3318626601590946</v>
      </c>
      <c r="N19" s="293"/>
    </row>
    <row r="20" spans="1:15" ht="14.45" customHeight="1" x14ac:dyDescent="0.25">
      <c r="A20" s="751" t="s">
        <v>76</v>
      </c>
      <c r="B20" s="576" t="e">
        <f t="shared" si="0"/>
        <v>#REF!</v>
      </c>
      <c r="C20" s="752" t="e">
        <f>'ANNEXE 1 Grille'!#REF!*($C$26-$C$24)</f>
        <v>#REF!</v>
      </c>
      <c r="D20" s="576" t="e">
        <f t="shared" si="1"/>
        <v>#REF!</v>
      </c>
      <c r="E20" s="578"/>
      <c r="F20" s="579">
        <f t="shared" si="2"/>
        <v>1160.8047505133045</v>
      </c>
      <c r="G20" s="580">
        <f>($F$26-$G$25)*'ANNEXE 1 Grille'!B18</f>
        <v>956.6285977239736</v>
      </c>
      <c r="H20" s="579">
        <f t="shared" si="3"/>
        <v>204.17615278933081</v>
      </c>
      <c r="I20" s="652"/>
      <c r="J20" s="652"/>
      <c r="K20" s="598">
        <f t="shared" si="4"/>
        <v>486.44257973243924</v>
      </c>
      <c r="L20" s="580">
        <f>($K$26-$L$25)*'ANNEXE 1 Grille'!B18</f>
        <v>482.11071707228012</v>
      </c>
      <c r="M20" s="579">
        <f t="shared" si="5"/>
        <v>4.3318626601590946</v>
      </c>
      <c r="N20" s="293"/>
    </row>
    <row r="21" spans="1:15" ht="14.45" customHeight="1" x14ac:dyDescent="0.25">
      <c r="A21" s="755" t="s">
        <v>77</v>
      </c>
      <c r="B21" s="576" t="e">
        <f t="shared" si="0"/>
        <v>#REF!</v>
      </c>
      <c r="C21" s="752" t="e">
        <f>'ANNEXE 1 Grille'!#REF!*($C$26-$C$24)</f>
        <v>#REF!</v>
      </c>
      <c r="D21" s="576" t="e">
        <f t="shared" si="1"/>
        <v>#REF!</v>
      </c>
      <c r="E21" s="578"/>
      <c r="F21" s="579">
        <f t="shared" si="2"/>
        <v>437.99273374730092</v>
      </c>
      <c r="G21" s="580">
        <f>($F$26-$G$25)*'ANNEXE 1 Grille'!B19</f>
        <v>233.81658095797013</v>
      </c>
      <c r="H21" s="579">
        <f t="shared" si="3"/>
        <v>204.17615278933081</v>
      </c>
      <c r="I21" s="652"/>
      <c r="J21" s="652"/>
      <c r="K21" s="598">
        <f t="shared" si="4"/>
        <v>122.16806343570994</v>
      </c>
      <c r="L21" s="580">
        <f>($K$26-$L$25)*'ANNEXE 1 Grille'!B19</f>
        <v>117.83620077555085</v>
      </c>
      <c r="M21" s="579">
        <f t="shared" si="5"/>
        <v>4.3318626601590946</v>
      </c>
      <c r="N21" s="293"/>
    </row>
    <row r="22" spans="1:15" ht="14.45" customHeight="1" x14ac:dyDescent="0.25">
      <c r="A22" s="755" t="s">
        <v>78</v>
      </c>
      <c r="B22" s="576" t="e">
        <f t="shared" si="0"/>
        <v>#REF!</v>
      </c>
      <c r="C22" s="752" t="e">
        <f>'ANNEXE 1 Grille'!#REF!*($C$26-$C$24)</f>
        <v>#REF!</v>
      </c>
      <c r="D22" s="576" t="e">
        <f t="shared" si="1"/>
        <v>#REF!</v>
      </c>
      <c r="E22" s="578"/>
      <c r="F22" s="579">
        <f t="shared" si="2"/>
        <v>5585.5143967202812</v>
      </c>
      <c r="G22" s="580">
        <f>($F$26-$G$25)*'ANNEXE 1 Grille'!B20</f>
        <v>5381.3382439309507</v>
      </c>
      <c r="H22" s="579">
        <f t="shared" si="3"/>
        <v>204.17615278933081</v>
      </c>
      <c r="I22" s="652"/>
      <c r="J22" s="652"/>
      <c r="K22" s="598">
        <f t="shared" si="4"/>
        <v>2716.3570370723355</v>
      </c>
      <c r="L22" s="580">
        <f>($K$26-$L$25)*'ANNEXE 1 Grille'!B20</f>
        <v>2712.0251744121765</v>
      </c>
      <c r="M22" s="579">
        <f t="shared" si="5"/>
        <v>4.3318626601590946</v>
      </c>
      <c r="N22" s="293"/>
    </row>
    <row r="23" spans="1:15" ht="14.45" customHeight="1" x14ac:dyDescent="0.25">
      <c r="A23" s="755" t="s">
        <v>79</v>
      </c>
      <c r="B23" s="576" t="e">
        <f t="shared" si="0"/>
        <v>#REF!</v>
      </c>
      <c r="C23" s="752" t="e">
        <f>'ANNEXE 1 Grille'!#REF!*($C$26-$C$24)</f>
        <v>#REF!</v>
      </c>
      <c r="D23" s="576" t="e">
        <f t="shared" si="1"/>
        <v>#REF!</v>
      </c>
      <c r="E23" s="578"/>
      <c r="F23" s="579">
        <f t="shared" si="2"/>
        <v>376.08619566438404</v>
      </c>
      <c r="G23" s="580">
        <f>($F$26-$G$25)*'ANNEXE 1 Grille'!B21</f>
        <v>171.91004287505322</v>
      </c>
      <c r="H23" s="579">
        <f t="shared" si="3"/>
        <v>204.17615278933081</v>
      </c>
      <c r="I23" s="652"/>
      <c r="J23" s="652"/>
      <c r="K23" s="641">
        <f t="shared" si="4"/>
        <v>0</v>
      </c>
      <c r="L23" s="642">
        <f>($F$26-$G$25)*'ANNEXE 1 Grille'!G21</f>
        <v>0</v>
      </c>
      <c r="M23" s="642">
        <f t="shared" si="5"/>
        <v>0</v>
      </c>
      <c r="N23" s="293"/>
    </row>
    <row r="24" spans="1:15" ht="14.45" customHeight="1" x14ac:dyDescent="0.25">
      <c r="A24" s="754" t="s">
        <v>80</v>
      </c>
      <c r="B24" s="576">
        <f t="shared" si="0"/>
        <v>15000</v>
      </c>
      <c r="C24" s="577">
        <f>C26*6/100</f>
        <v>15000</v>
      </c>
      <c r="D24" s="577"/>
      <c r="E24" s="578"/>
      <c r="F24" s="756">
        <f>G24+H24</f>
        <v>0</v>
      </c>
      <c r="G24" s="642"/>
      <c r="H24" s="642"/>
      <c r="I24" s="652"/>
      <c r="J24" s="652"/>
      <c r="K24" s="598">
        <f>L24+M24</f>
        <v>2062.2990123883433</v>
      </c>
      <c r="L24" s="580">
        <f>($K$26-$L$25)*'ANNEXE 1 Grille'!B22</f>
        <v>2057.9671497281843</v>
      </c>
      <c r="M24" s="579">
        <f t="shared" si="5"/>
        <v>4.3318626601590946</v>
      </c>
      <c r="N24" s="293"/>
    </row>
    <row r="25" spans="1:15" ht="14.45" customHeight="1" x14ac:dyDescent="0.25">
      <c r="A25" s="575" t="s">
        <v>188</v>
      </c>
      <c r="B25" s="576">
        <f>C25+D25</f>
        <v>0</v>
      </c>
      <c r="C25" s="577">
        <v>0</v>
      </c>
      <c r="D25" s="577"/>
      <c r="E25" s="578"/>
      <c r="F25" s="579">
        <f>G25+H25</f>
        <v>50832.716506291632</v>
      </c>
      <c r="G25" s="580">
        <f>F26/2</f>
        <v>50832.716506291632</v>
      </c>
      <c r="H25" s="580"/>
      <c r="I25" s="652"/>
      <c r="J25" s="652"/>
      <c r="K25" s="598">
        <f>L25+M25</f>
        <v>25618.089887640446</v>
      </c>
      <c r="L25" s="580">
        <f>K26/2</f>
        <v>25618.089887640446</v>
      </c>
      <c r="M25" s="580"/>
      <c r="N25" s="293"/>
      <c r="O25" s="328"/>
    </row>
    <row r="26" spans="1:15" ht="14.45" customHeight="1" x14ac:dyDescent="0.25">
      <c r="A26" s="581" t="s">
        <v>239</v>
      </c>
      <c r="B26" s="582">
        <v>250000</v>
      </c>
      <c r="C26" s="583">
        <v>250000</v>
      </c>
      <c r="D26" s="584" t="e">
        <f>C26-C24-SUM(C4:C23)</f>
        <v>#REF!</v>
      </c>
      <c r="E26" s="578"/>
      <c r="F26" s="585">
        <f>H33</f>
        <v>101665.43301258326</v>
      </c>
      <c r="G26" s="585">
        <f>SUM(G4:G25)</f>
        <v>97581.909956796648</v>
      </c>
      <c r="H26" s="586">
        <f>F26-SUM(G4:G25)</f>
        <v>4083.5230557866162</v>
      </c>
      <c r="I26" s="652"/>
      <c r="J26" s="652"/>
      <c r="K26" s="599">
        <f>M33</f>
        <v>51236.179775280892</v>
      </c>
      <c r="L26" s="585">
        <f>SUM(L4:L25)</f>
        <v>51149.542522077711</v>
      </c>
      <c r="M26" s="586">
        <f>K26-SUM(L4:L25)</f>
        <v>86.637253203181899</v>
      </c>
      <c r="N26" s="293"/>
    </row>
    <row r="27" spans="1:15" ht="14.45" customHeight="1" x14ac:dyDescent="0.25">
      <c r="A27" s="587" t="s">
        <v>240</v>
      </c>
      <c r="B27" s="588" t="e">
        <f>SUM(B4:B25)</f>
        <v>#REF!</v>
      </c>
      <c r="C27" s="588" t="e">
        <f>SUM(C4:D25)</f>
        <v>#REF!</v>
      </c>
      <c r="D27" s="588" t="e">
        <f>SUM(D4:D24)</f>
        <v>#REF!</v>
      </c>
      <c r="E27" s="589"/>
      <c r="F27" s="588">
        <f>SUM(F4:F25)</f>
        <v>101665.43301258326</v>
      </c>
      <c r="G27" s="588">
        <f>SUM(G4:G25)</f>
        <v>97581.909956796648</v>
      </c>
      <c r="H27" s="588">
        <f>SUM(H4:H25)</f>
        <v>4083.5230557866175</v>
      </c>
      <c r="I27" s="589"/>
      <c r="J27" s="757"/>
      <c r="K27" s="588">
        <f>SUM(K4:K25)</f>
        <v>51236.179775280892</v>
      </c>
      <c r="L27" s="588">
        <f>SUM(L4:L25)</f>
        <v>51149.542522077711</v>
      </c>
      <c r="M27" s="588">
        <f>SUM(M4:M25)</f>
        <v>86.637253203181885</v>
      </c>
      <c r="N27" s="590"/>
    </row>
    <row r="28" spans="1:15" ht="14.45" customHeight="1" x14ac:dyDescent="0.25">
      <c r="A28" s="652"/>
      <c r="B28" s="758" t="s">
        <v>327</v>
      </c>
      <c r="C28" s="759">
        <f>SUBTOTAL(3,C4:C23)</f>
        <v>20</v>
      </c>
      <c r="D28" s="760"/>
      <c r="E28" s="758"/>
      <c r="F28" s="758" t="s">
        <v>327</v>
      </c>
      <c r="G28" s="759">
        <f>SUBTOTAL(3,G4:G23)</f>
        <v>20</v>
      </c>
      <c r="H28" s="760"/>
      <c r="I28" s="758"/>
      <c r="J28" s="652"/>
      <c r="K28" s="758" t="s">
        <v>327</v>
      </c>
      <c r="L28" s="759">
        <f>SUBTOTAL(3,L4:L23)</f>
        <v>20</v>
      </c>
      <c r="M28" s="760"/>
      <c r="N28" s="591"/>
    </row>
    <row r="29" spans="1:15" x14ac:dyDescent="0.25">
      <c r="A29" s="652"/>
      <c r="B29" s="652"/>
      <c r="C29" s="760"/>
      <c r="D29" s="760"/>
      <c r="E29" s="758"/>
      <c r="F29" s="760"/>
      <c r="G29" s="760"/>
      <c r="H29" s="760"/>
      <c r="I29" s="758"/>
      <c r="J29" s="652"/>
      <c r="K29" s="652"/>
      <c r="L29" s="652"/>
      <c r="M29" s="652"/>
      <c r="N29" s="293"/>
    </row>
    <row r="30" spans="1:15" x14ac:dyDescent="0.25">
      <c r="A30" s="652"/>
      <c r="B30" s="652"/>
      <c r="C30" s="760"/>
      <c r="D30" s="760"/>
      <c r="E30" s="758"/>
      <c r="F30" s="760"/>
      <c r="G30" s="760"/>
      <c r="H30" s="760"/>
      <c r="I30" s="758"/>
      <c r="J30" s="652"/>
      <c r="K30" s="652"/>
      <c r="L30" s="652"/>
      <c r="M30" s="652"/>
      <c r="N30" s="293"/>
    </row>
    <row r="31" spans="1:15" ht="15" customHeight="1" x14ac:dyDescent="0.25">
      <c r="A31" s="915"/>
      <c r="B31" s="915"/>
      <c r="C31" s="761"/>
      <c r="D31" s="753"/>
      <c r="E31" s="762"/>
      <c r="F31" s="911" t="s">
        <v>302</v>
      </c>
      <c r="G31" s="912"/>
      <c r="H31" s="763">
        <f>G28</f>
        <v>20</v>
      </c>
      <c r="I31" s="758"/>
      <c r="J31" s="652"/>
      <c r="K31" s="911" t="s">
        <v>302</v>
      </c>
      <c r="L31" s="912"/>
      <c r="M31" s="763">
        <f>L28</f>
        <v>20</v>
      </c>
      <c r="N31" s="293"/>
    </row>
    <row r="32" spans="1:15" ht="15" customHeight="1" x14ac:dyDescent="0.25">
      <c r="A32" s="916"/>
      <c r="B32" s="916"/>
      <c r="C32" s="916"/>
      <c r="D32" s="753"/>
      <c r="E32" s="762"/>
      <c r="F32" s="860" t="s">
        <v>242</v>
      </c>
      <c r="G32" s="860"/>
      <c r="H32" s="860"/>
      <c r="I32" s="758"/>
      <c r="J32" s="652"/>
      <c r="K32" s="860" t="s">
        <v>242</v>
      </c>
      <c r="L32" s="860"/>
      <c r="M32" s="860"/>
      <c r="N32" s="293"/>
    </row>
    <row r="33" spans="1:14" x14ac:dyDescent="0.25">
      <c r="A33" s="910"/>
      <c r="B33" s="910"/>
      <c r="C33" s="764"/>
      <c r="D33" s="753"/>
      <c r="E33" s="762"/>
      <c r="F33" s="913" t="s">
        <v>319</v>
      </c>
      <c r="G33" s="914"/>
      <c r="H33" s="586">
        <f>H35*H37</f>
        <v>101665.43301258326</v>
      </c>
      <c r="I33" s="758"/>
      <c r="J33" s="652"/>
      <c r="K33" s="913" t="s">
        <v>319</v>
      </c>
      <c r="L33" s="914"/>
      <c r="M33" s="586">
        <f>M35*M37</f>
        <v>51236.179775280892</v>
      </c>
      <c r="N33" s="293"/>
    </row>
    <row r="34" spans="1:14" x14ac:dyDescent="0.25">
      <c r="A34" s="910"/>
      <c r="B34" s="910"/>
      <c r="C34" s="764"/>
      <c r="D34" s="753"/>
      <c r="E34" s="762"/>
      <c r="F34" s="913" t="s">
        <v>245</v>
      </c>
      <c r="G34" s="914"/>
      <c r="H34" s="586">
        <f>H33*1.2</f>
        <v>121998.51961509991</v>
      </c>
      <c r="I34" s="758"/>
      <c r="J34" s="652"/>
      <c r="K34" s="913" t="s">
        <v>245</v>
      </c>
      <c r="L34" s="914"/>
      <c r="M34" s="586">
        <f>M33*1.2</f>
        <v>61483.415730337067</v>
      </c>
      <c r="N34" s="293"/>
    </row>
    <row r="35" spans="1:14" x14ac:dyDescent="0.25">
      <c r="A35" s="910"/>
      <c r="B35" s="910"/>
      <c r="C35" s="764"/>
      <c r="D35" s="753"/>
      <c r="E35" s="762"/>
      <c r="F35" s="913" t="s">
        <v>305</v>
      </c>
      <c r="G35" s="914"/>
      <c r="H35" s="586">
        <v>100000</v>
      </c>
      <c r="I35" s="758"/>
      <c r="J35" s="652"/>
      <c r="K35" s="913" t="s">
        <v>305</v>
      </c>
      <c r="L35" s="914"/>
      <c r="M35" s="586">
        <v>49800</v>
      </c>
      <c r="N35" s="293"/>
    </row>
    <row r="36" spans="1:14" x14ac:dyDescent="0.25">
      <c r="A36" s="910"/>
      <c r="B36" s="910"/>
      <c r="C36" s="764"/>
      <c r="D36" s="753"/>
      <c r="E36" s="762"/>
      <c r="F36" s="913" t="s">
        <v>247</v>
      </c>
      <c r="G36" s="914"/>
      <c r="H36" s="586">
        <f>H35*1.2</f>
        <v>120000</v>
      </c>
      <c r="I36" s="758"/>
      <c r="J36" s="652"/>
      <c r="K36" s="913" t="s">
        <v>247</v>
      </c>
      <c r="L36" s="914"/>
      <c r="M36" s="586">
        <f>M35*1.2</f>
        <v>59760</v>
      </c>
      <c r="N36" s="293"/>
    </row>
    <row r="37" spans="1:14" ht="15" customHeight="1" x14ac:dyDescent="0.25">
      <c r="A37" s="910"/>
      <c r="B37" s="910"/>
      <c r="C37" s="765"/>
      <c r="D37" s="753"/>
      <c r="E37" s="762"/>
      <c r="F37" s="913" t="s">
        <v>328</v>
      </c>
      <c r="G37" s="914"/>
      <c r="H37" s="594">
        <f>2747/2702</f>
        <v>1.0166543301258326</v>
      </c>
      <c r="I37" s="758"/>
      <c r="J37" s="652"/>
      <c r="K37" s="913" t="s">
        <v>328</v>
      </c>
      <c r="L37" s="914"/>
      <c r="M37" s="594">
        <f>2747/2670</f>
        <v>1.0288389513108613</v>
      </c>
      <c r="N37" s="595"/>
    </row>
    <row r="38" spans="1:14" x14ac:dyDescent="0.25">
      <c r="A38" s="652"/>
      <c r="B38" s="652"/>
      <c r="C38" s="760"/>
      <c r="D38" s="760"/>
      <c r="E38" s="758"/>
      <c r="F38" s="760"/>
      <c r="G38" s="760"/>
      <c r="H38" s="760"/>
      <c r="I38" s="758"/>
      <c r="J38" s="652"/>
      <c r="K38" s="652"/>
      <c r="L38" s="652"/>
      <c r="M38" s="652"/>
      <c r="N38" s="293"/>
    </row>
    <row r="39" spans="1:14" x14ac:dyDescent="0.25">
      <c r="A39" s="293"/>
      <c r="B39" s="293"/>
      <c r="C39" s="593"/>
      <c r="D39" s="593"/>
      <c r="E39" s="591"/>
      <c r="F39" s="593"/>
      <c r="G39" s="593"/>
      <c r="H39" s="593"/>
      <c r="I39" s="591"/>
      <c r="J39" s="293"/>
      <c r="K39" s="293"/>
      <c r="L39" s="293"/>
      <c r="M39" s="293"/>
      <c r="N39" s="293"/>
    </row>
    <row r="40" spans="1:14" x14ac:dyDescent="0.25">
      <c r="A40" s="293"/>
      <c r="B40" s="293"/>
      <c r="C40" s="593"/>
      <c r="D40" s="593"/>
      <c r="E40" s="591"/>
      <c r="F40" s="593"/>
      <c r="G40" s="593"/>
      <c r="H40" s="593"/>
      <c r="I40" s="591"/>
      <c r="J40" s="293"/>
      <c r="K40" s="293"/>
      <c r="L40" s="293"/>
      <c r="M40" s="293"/>
      <c r="N40" s="293"/>
    </row>
  </sheetData>
  <mergeCells count="28">
    <mergeCell ref="K34:L34"/>
    <mergeCell ref="K35:L35"/>
    <mergeCell ref="K36:L36"/>
    <mergeCell ref="K37:L37"/>
    <mergeCell ref="K1:M1"/>
    <mergeCell ref="K2:M2"/>
    <mergeCell ref="K31:L31"/>
    <mergeCell ref="K32:M32"/>
    <mergeCell ref="K33:L33"/>
    <mergeCell ref="A36:B36"/>
    <mergeCell ref="A37:B37"/>
    <mergeCell ref="F31:G31"/>
    <mergeCell ref="F32:H32"/>
    <mergeCell ref="F33:G33"/>
    <mergeCell ref="F34:G34"/>
    <mergeCell ref="F35:G35"/>
    <mergeCell ref="F36:G36"/>
    <mergeCell ref="F37:G37"/>
    <mergeCell ref="A31:B31"/>
    <mergeCell ref="A32:C32"/>
    <mergeCell ref="A33:B33"/>
    <mergeCell ref="A34:B34"/>
    <mergeCell ref="A35:B35"/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workbookViewId="0">
      <selection activeCell="L40" sqref="L40"/>
    </sheetView>
  </sheetViews>
  <sheetFormatPr baseColWidth="10" defaultColWidth="9.140625" defaultRowHeight="15" x14ac:dyDescent="0.25"/>
  <cols>
    <col min="1" max="1" width="10.7109375" style="25" customWidth="1"/>
    <col min="2" max="2" width="9.140625" style="25"/>
    <col min="3" max="3" width="15.7109375" style="25" bestFit="1" customWidth="1"/>
    <col min="4" max="4" width="13.85546875" style="25" bestFit="1" customWidth="1"/>
    <col min="5" max="16384" width="9.140625" style="25"/>
  </cols>
  <sheetData>
    <row r="1" spans="1:4" x14ac:dyDescent="0.25">
      <c r="A1" s="743"/>
      <c r="B1" s="766" t="s">
        <v>329</v>
      </c>
      <c r="C1" s="767"/>
      <c r="D1" s="743"/>
    </row>
    <row r="2" spans="1:4" x14ac:dyDescent="0.25">
      <c r="A2" s="743"/>
      <c r="B2" s="545" t="s">
        <v>298</v>
      </c>
      <c r="C2" s="545" t="s">
        <v>299</v>
      </c>
      <c r="D2" s="545" t="s">
        <v>300</v>
      </c>
    </row>
    <row r="3" spans="1:4" x14ac:dyDescent="0.25">
      <c r="A3" s="545" t="s">
        <v>60</v>
      </c>
      <c r="B3" s="546">
        <f>C3+D3</f>
        <v>4068.9657662539394</v>
      </c>
      <c r="C3" s="546">
        <f>$B$26*'ANNEXE 1 Grille'!B2</f>
        <v>2937.7586774786937</v>
      </c>
      <c r="D3" s="548">
        <f>IF(C3&lt;&gt;0,$C$25/$C$27,C3)</f>
        <v>1131.2070887752459</v>
      </c>
    </row>
    <row r="4" spans="1:4" ht="15" customHeight="1" x14ac:dyDescent="0.25">
      <c r="A4" s="545" t="s">
        <v>61</v>
      </c>
      <c r="B4" s="548">
        <f t="shared" ref="B4:B24" si="0">C4+D4</f>
        <v>2961.0702235707768</v>
      </c>
      <c r="C4" s="546">
        <f>$B$26*'ANNEXE 1 Grille'!B3</f>
        <v>1829.8631347955311</v>
      </c>
      <c r="D4" s="548">
        <f t="shared" ref="D4:D23" si="1">IF(C4&lt;&gt;0,$C$25/$C$27,C4)</f>
        <v>1131.2070887752459</v>
      </c>
    </row>
    <row r="5" spans="1:4" x14ac:dyDescent="0.25">
      <c r="A5" s="545" t="s">
        <v>62</v>
      </c>
      <c r="B5" s="548">
        <f t="shared" si="0"/>
        <v>2067.9793829436617</v>
      </c>
      <c r="C5" s="546">
        <f>$B$26*'ANNEXE 1 Grille'!B4</f>
        <v>936.7722941684159</v>
      </c>
      <c r="D5" s="548">
        <f t="shared" si="1"/>
        <v>1131.2070887752459</v>
      </c>
    </row>
    <row r="6" spans="1:4" x14ac:dyDescent="0.25">
      <c r="A6" s="545" t="s">
        <v>63</v>
      </c>
      <c r="B6" s="548">
        <f t="shared" si="0"/>
        <v>11635.200280363902</v>
      </c>
      <c r="C6" s="546">
        <f>$B$26*'ANNEXE 1 Grille'!B5</f>
        <v>10503.993191588657</v>
      </c>
      <c r="D6" s="548">
        <f t="shared" si="1"/>
        <v>1131.2070887752459</v>
      </c>
    </row>
    <row r="7" spans="1:4" x14ac:dyDescent="0.25">
      <c r="A7" s="545" t="s">
        <v>64</v>
      </c>
      <c r="B7" s="548">
        <f t="shared" si="0"/>
        <v>6218.3381430527925</v>
      </c>
      <c r="C7" s="546">
        <f>$B$26*'ANNEXE 1 Grille'!B6</f>
        <v>5087.1310542775464</v>
      </c>
      <c r="D7" s="548">
        <f t="shared" si="1"/>
        <v>1131.2070887752459</v>
      </c>
    </row>
    <row r="8" spans="1:4" x14ac:dyDescent="0.25">
      <c r="A8" s="545" t="s">
        <v>65</v>
      </c>
      <c r="B8" s="548">
        <f t="shared" si="0"/>
        <v>1421.621932582701</v>
      </c>
      <c r="C8" s="546">
        <f>$B$26*'ANNEXE 1 Grille'!B7</f>
        <v>290.41484380745504</v>
      </c>
      <c r="D8" s="548">
        <f t="shared" si="1"/>
        <v>1131.2070887752459</v>
      </c>
    </row>
    <row r="9" spans="1:4" x14ac:dyDescent="0.25">
      <c r="A9" s="545" t="s">
        <v>66</v>
      </c>
      <c r="B9" s="548">
        <f t="shared" si="0"/>
        <v>2517.0443894659679</v>
      </c>
      <c r="C9" s="546">
        <f>$B$26*'ANNEXE 1 Grille'!B8</f>
        <v>1385.837300690722</v>
      </c>
      <c r="D9" s="548">
        <f t="shared" si="1"/>
        <v>1131.2070887752459</v>
      </c>
    </row>
    <row r="10" spans="1:4" x14ac:dyDescent="0.25">
      <c r="A10" s="545" t="s">
        <v>67</v>
      </c>
      <c r="B10" s="548">
        <f t="shared" si="0"/>
        <v>0</v>
      </c>
      <c r="C10" s="546"/>
      <c r="D10" s="548">
        <f t="shared" si="1"/>
        <v>0</v>
      </c>
    </row>
    <row r="11" spans="1:4" x14ac:dyDescent="0.25">
      <c r="A11" s="545" t="s">
        <v>68</v>
      </c>
      <c r="B11" s="548">
        <f t="shared" si="0"/>
        <v>0</v>
      </c>
      <c r="C11" s="546"/>
      <c r="D11" s="548">
        <f t="shared" si="1"/>
        <v>0</v>
      </c>
    </row>
    <row r="12" spans="1:4" x14ac:dyDescent="0.25">
      <c r="A12" s="545" t="s">
        <v>69</v>
      </c>
      <c r="B12" s="548">
        <f t="shared" si="0"/>
        <v>6269.9489559446101</v>
      </c>
      <c r="C12" s="546">
        <f>$B$26*'ANNEXE 1 Grille'!B11</f>
        <v>5138.741867169364</v>
      </c>
      <c r="D12" s="548">
        <f t="shared" si="1"/>
        <v>1131.2070887752459</v>
      </c>
    </row>
    <row r="13" spans="1:4" x14ac:dyDescent="0.25">
      <c r="A13" s="545" t="s">
        <v>70</v>
      </c>
      <c r="B13" s="548">
        <f t="shared" si="0"/>
        <v>5671.0787839182613</v>
      </c>
      <c r="C13" s="546">
        <f>$B$26*'ANNEXE 1 Grille'!B12</f>
        <v>4539.8716951430151</v>
      </c>
      <c r="D13" s="548">
        <f t="shared" si="1"/>
        <v>1131.2070887752459</v>
      </c>
    </row>
    <row r="14" spans="1:4" x14ac:dyDescent="0.25">
      <c r="A14" s="545" t="s">
        <v>71</v>
      </c>
      <c r="B14" s="548">
        <f t="shared" si="0"/>
        <v>0</v>
      </c>
      <c r="C14" s="546"/>
      <c r="D14" s="548">
        <f t="shared" si="1"/>
        <v>0</v>
      </c>
    </row>
    <row r="15" spans="1:4" x14ac:dyDescent="0.25">
      <c r="A15" s="545" t="s">
        <v>72</v>
      </c>
      <c r="B15" s="548">
        <f t="shared" si="0"/>
        <v>3779.7775275575841</v>
      </c>
      <c r="C15" s="546">
        <f>$B$26*'ANNEXE 1 Grille'!B14</f>
        <v>2648.5704387823384</v>
      </c>
      <c r="D15" s="548">
        <f t="shared" si="1"/>
        <v>1131.2070887752459</v>
      </c>
    </row>
    <row r="16" spans="1:4" x14ac:dyDescent="0.25">
      <c r="A16" s="545" t="s">
        <v>73</v>
      </c>
      <c r="B16" s="548">
        <f t="shared" si="0"/>
        <v>6794.0708199559122</v>
      </c>
      <c r="C16" s="546">
        <f>$B$26*'ANNEXE 1 Grille'!B15</f>
        <v>5662.863731180666</v>
      </c>
      <c r="D16" s="548">
        <f t="shared" si="1"/>
        <v>1131.2070887752459</v>
      </c>
    </row>
    <row r="17" spans="1:6" x14ac:dyDescent="0.25">
      <c r="A17" s="545" t="s">
        <v>74</v>
      </c>
      <c r="B17" s="548">
        <f t="shared" si="0"/>
        <v>2321.294395083376</v>
      </c>
      <c r="C17" s="546">
        <f>$B$26*'ANNEXE 1 Grille'!B16</f>
        <v>1190.0873063081299</v>
      </c>
      <c r="D17" s="548">
        <f t="shared" si="1"/>
        <v>1131.2070887752459</v>
      </c>
    </row>
    <row r="18" spans="1:6" x14ac:dyDescent="0.25">
      <c r="A18" s="545" t="s">
        <v>75</v>
      </c>
      <c r="B18" s="548">
        <f t="shared" si="0"/>
        <v>3283.3972717697588</v>
      </c>
      <c r="C18" s="546">
        <f>$B$26*'ANNEXE 1 Grille'!B17</f>
        <v>2152.1901829945132</v>
      </c>
      <c r="D18" s="548">
        <f t="shared" si="1"/>
        <v>1131.2070887752459</v>
      </c>
    </row>
    <row r="19" spans="1:6" x14ac:dyDescent="0.25">
      <c r="A19" s="545" t="s">
        <v>76</v>
      </c>
      <c r="B19" s="548">
        <f t="shared" si="0"/>
        <v>2448.5477001586632</v>
      </c>
      <c r="C19" s="546">
        <f>$B$26*'ANNEXE 1 Grille'!B18</f>
        <v>1317.3406113834176</v>
      </c>
      <c r="D19" s="548">
        <f t="shared" si="1"/>
        <v>1131.2070887752459</v>
      </c>
    </row>
    <row r="20" spans="1:6" x14ac:dyDescent="0.25">
      <c r="A20" s="545" t="s">
        <v>77</v>
      </c>
      <c r="B20" s="548">
        <f t="shared" si="0"/>
        <v>0</v>
      </c>
      <c r="C20" s="546"/>
      <c r="D20" s="548">
        <f t="shared" si="1"/>
        <v>0</v>
      </c>
    </row>
    <row r="21" spans="1:6" x14ac:dyDescent="0.25">
      <c r="A21" s="545" t="s">
        <v>78</v>
      </c>
      <c r="B21" s="548">
        <f t="shared" si="0"/>
        <v>8541.6644273780857</v>
      </c>
      <c r="C21" s="546">
        <f>$B$26*'ANNEXE 1 Grille'!B20</f>
        <v>7410.4573386028396</v>
      </c>
      <c r="D21" s="548">
        <f t="shared" si="1"/>
        <v>1131.2070887752459</v>
      </c>
    </row>
    <row r="22" spans="1:6" x14ac:dyDescent="0.25">
      <c r="A22" s="545" t="s">
        <v>79</v>
      </c>
      <c r="B22" s="548">
        <f t="shared" si="0"/>
        <v>0</v>
      </c>
      <c r="C22" s="546"/>
      <c r="D22" s="548">
        <f t="shared" si="1"/>
        <v>0</v>
      </c>
    </row>
    <row r="23" spans="1:6" x14ac:dyDescent="0.25">
      <c r="A23" s="768" t="s">
        <v>80</v>
      </c>
      <c r="B23" s="548">
        <f t="shared" si="0"/>
        <v>0</v>
      </c>
      <c r="C23" s="546"/>
      <c r="D23" s="548">
        <f t="shared" si="1"/>
        <v>0</v>
      </c>
      <c r="F23" s="152"/>
    </row>
    <row r="24" spans="1:6" x14ac:dyDescent="0.25">
      <c r="A24" s="545" t="s">
        <v>81</v>
      </c>
      <c r="B24" s="548">
        <f t="shared" si="0"/>
        <v>0</v>
      </c>
      <c r="C24" s="546"/>
      <c r="D24" s="548"/>
    </row>
    <row r="25" spans="1:6" x14ac:dyDescent="0.25">
      <c r="A25" s="551" t="s">
        <v>82</v>
      </c>
      <c r="B25" s="769">
        <f>SUM(B3:B24)</f>
        <v>70000</v>
      </c>
      <c r="C25" s="770">
        <f>B26-SUM(C3:C24)</f>
        <v>16968.106331628689</v>
      </c>
      <c r="D25" s="771"/>
    </row>
    <row r="26" spans="1:6" ht="34.5" x14ac:dyDescent="0.25">
      <c r="A26" s="772" t="s">
        <v>82</v>
      </c>
      <c r="B26" s="773">
        <v>70000</v>
      </c>
      <c r="C26" s="773"/>
      <c r="D26" s="773"/>
    </row>
    <row r="27" spans="1:6" x14ac:dyDescent="0.25">
      <c r="A27" s="772" t="s">
        <v>83</v>
      </c>
      <c r="B27" s="553">
        <f>B25-B26</f>
        <v>0</v>
      </c>
      <c r="C27" s="774">
        <f>COUNTA(C3:C24)</f>
        <v>15</v>
      </c>
      <c r="D27" s="553"/>
    </row>
    <row r="28" spans="1:6" x14ac:dyDescent="0.25">
      <c r="A28" s="772"/>
      <c r="B28" s="553"/>
      <c r="C28" s="774"/>
      <c r="D28" s="553"/>
    </row>
    <row r="29" spans="1:6" x14ac:dyDescent="0.25">
      <c r="A29" s="743"/>
      <c r="B29" s="743"/>
      <c r="C29" s="743"/>
      <c r="D29" s="743"/>
    </row>
    <row r="30" spans="1:6" ht="33" x14ac:dyDescent="0.25">
      <c r="A30" s="776" t="s">
        <v>438</v>
      </c>
      <c r="B30" s="775">
        <v>35000</v>
      </c>
      <c r="C30" s="743"/>
      <c r="D30" s="743"/>
    </row>
    <row r="31" spans="1:6" ht="22.5" x14ac:dyDescent="0.25">
      <c r="A31" s="776" t="s">
        <v>439</v>
      </c>
      <c r="B31" s="775">
        <v>70000</v>
      </c>
      <c r="C31" s="743"/>
      <c r="D31" s="743"/>
    </row>
    <row r="32" spans="1:6" ht="22.5" x14ac:dyDescent="0.25">
      <c r="A32" s="776" t="s">
        <v>440</v>
      </c>
      <c r="B32" s="775">
        <f>B30+B31</f>
        <v>105000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8"/>
  <sheetViews>
    <sheetView zoomScale="80" zoomScaleNormal="80" workbookViewId="0">
      <selection sqref="A1:A3"/>
    </sheetView>
  </sheetViews>
  <sheetFormatPr baseColWidth="10" defaultColWidth="16.85546875" defaultRowHeight="15" x14ac:dyDescent="0.25"/>
  <cols>
    <col min="1" max="2" width="16.85546875" style="188"/>
    <col min="3" max="3" width="16.85546875" style="264"/>
    <col min="4" max="16384" width="16.85546875" style="188"/>
  </cols>
  <sheetData>
    <row r="1" spans="1:19" ht="15" customHeight="1" x14ac:dyDescent="0.25">
      <c r="A1" s="857" t="s">
        <v>234</v>
      </c>
      <c r="B1" s="930" t="s">
        <v>330</v>
      </c>
      <c r="C1" s="930"/>
      <c r="D1" s="930"/>
      <c r="F1" s="857" t="s">
        <v>234</v>
      </c>
      <c r="G1" s="858" t="s">
        <v>331</v>
      </c>
      <c r="H1" s="858"/>
      <c r="I1" s="858"/>
      <c r="K1" s="697" t="s">
        <v>234</v>
      </c>
      <c r="L1" s="921" t="s">
        <v>332</v>
      </c>
      <c r="M1" s="922"/>
      <c r="N1" s="923"/>
      <c r="O1" s="364"/>
      <c r="P1" s="705" t="s">
        <v>234</v>
      </c>
      <c r="Q1" s="921" t="s">
        <v>333</v>
      </c>
      <c r="R1" s="922"/>
      <c r="S1" s="923"/>
    </row>
    <row r="2" spans="1:19" ht="15" customHeight="1" x14ac:dyDescent="0.25">
      <c r="A2" s="857"/>
      <c r="B2" s="888" t="s">
        <v>297</v>
      </c>
      <c r="C2" s="888"/>
      <c r="D2" s="888"/>
      <c r="E2" s="293"/>
      <c r="F2" s="857"/>
      <c r="G2" s="888" t="s">
        <v>297</v>
      </c>
      <c r="H2" s="888"/>
      <c r="I2" s="888"/>
      <c r="J2" s="293"/>
      <c r="K2" s="697"/>
      <c r="L2" s="701">
        <v>2021</v>
      </c>
      <c r="M2" s="703"/>
      <c r="N2" s="703"/>
      <c r="O2" s="252"/>
      <c r="P2" s="705"/>
      <c r="Q2" s="703">
        <v>2021</v>
      </c>
      <c r="R2" s="703"/>
      <c r="S2" s="703"/>
    </row>
    <row r="3" spans="1:19" ht="60" x14ac:dyDescent="0.25">
      <c r="A3" s="857"/>
      <c r="B3" s="326" t="s">
        <v>189</v>
      </c>
      <c r="C3" s="327" t="s">
        <v>237</v>
      </c>
      <c r="D3" s="327" t="s">
        <v>334</v>
      </c>
      <c r="E3" s="781"/>
      <c r="F3" s="857"/>
      <c r="G3" s="326" t="s">
        <v>189</v>
      </c>
      <c r="H3" s="327" t="s">
        <v>237</v>
      </c>
      <c r="I3" s="327" t="s">
        <v>238</v>
      </c>
      <c r="J3" s="688"/>
      <c r="K3" s="697"/>
      <c r="L3" s="701" t="s">
        <v>298</v>
      </c>
      <c r="M3" s="365" t="s">
        <v>299</v>
      </c>
      <c r="N3" s="366" t="s">
        <v>300</v>
      </c>
      <c r="O3" s="367"/>
      <c r="P3" s="368"/>
      <c r="Q3" s="701" t="s">
        <v>298</v>
      </c>
      <c r="R3" s="365" t="s">
        <v>299</v>
      </c>
      <c r="S3" s="366" t="s">
        <v>300</v>
      </c>
    </row>
    <row r="4" spans="1:19" x14ac:dyDescent="0.25">
      <c r="A4" s="241" t="s">
        <v>60</v>
      </c>
      <c r="B4" s="246">
        <f t="shared" ref="B4:B26" si="0">C4+D4</f>
        <v>3045.143691285426</v>
      </c>
      <c r="C4" s="243">
        <f t="shared" ref="C4:C24" si="1">L4</f>
        <v>3045.143691285426</v>
      </c>
      <c r="D4" s="244">
        <f>I70</f>
        <v>0</v>
      </c>
      <c r="E4" s="688"/>
      <c r="F4" s="241" t="s">
        <v>60</v>
      </c>
      <c r="G4" s="246">
        <f t="shared" ref="G4:G25" si="2">H4+I4</f>
        <v>817.91592501949344</v>
      </c>
      <c r="H4" s="243">
        <f t="shared" ref="H4:H24" si="3">Q4</f>
        <v>817.91592501949344</v>
      </c>
      <c r="I4" s="244"/>
      <c r="J4" s="688"/>
      <c r="K4" s="369" t="s">
        <v>60</v>
      </c>
      <c r="L4" s="370">
        <f t="shared" ref="L4:L24" si="4">M4+N4</f>
        <v>3045.143691285426</v>
      </c>
      <c r="M4" s="371">
        <f>'ANNEXE 1 Grille'!B2*(N$27-M$24)</f>
        <v>2437.2810563948442</v>
      </c>
      <c r="N4" s="372">
        <f t="shared" ref="N4:N23" si="5">IF(M4&lt;&gt;0,M$27/C$55,M4)</f>
        <v>607.86263489058183</v>
      </c>
      <c r="P4" s="369" t="s">
        <v>60</v>
      </c>
      <c r="Q4" s="370">
        <f>R4+S4</f>
        <v>817.91592501949344</v>
      </c>
      <c r="R4" s="371">
        <f>'ANNEXE 1 Grille'!B2*(S$27-R$24)</f>
        <v>654.64595167664402</v>
      </c>
      <c r="S4" s="372">
        <f t="shared" ref="S4:S23" si="6">IF(R4&lt;&gt;0,R$27/H$55,R4)</f>
        <v>163.26997334284948</v>
      </c>
    </row>
    <row r="5" spans="1:19" x14ac:dyDescent="0.25">
      <c r="A5" s="241" t="s">
        <v>61</v>
      </c>
      <c r="B5" s="246">
        <f t="shared" si="0"/>
        <v>0</v>
      </c>
      <c r="C5" s="243">
        <f t="shared" si="1"/>
        <v>0</v>
      </c>
      <c r="D5" s="244">
        <v>0</v>
      </c>
      <c r="E5" s="688"/>
      <c r="F5" s="241" t="s">
        <v>61</v>
      </c>
      <c r="G5" s="246">
        <f t="shared" si="2"/>
        <v>0</v>
      </c>
      <c r="H5" s="243">
        <f t="shared" si="3"/>
        <v>0</v>
      </c>
      <c r="I5" s="244"/>
      <c r="J5" s="688"/>
      <c r="K5" s="369" t="s">
        <v>61</v>
      </c>
      <c r="L5" s="370">
        <f t="shared" si="4"/>
        <v>0</v>
      </c>
      <c r="M5" s="371"/>
      <c r="N5" s="372">
        <f t="shared" si="5"/>
        <v>0</v>
      </c>
      <c r="P5" s="369" t="s">
        <v>61</v>
      </c>
      <c r="Q5" s="370">
        <f t="shared" ref="Q5:Q24" si="7">R5+S5</f>
        <v>0</v>
      </c>
      <c r="R5" s="371"/>
      <c r="S5" s="372">
        <f t="shared" si="6"/>
        <v>0</v>
      </c>
    </row>
    <row r="6" spans="1:19" x14ac:dyDescent="0.25">
      <c r="A6" s="241" t="s">
        <v>62</v>
      </c>
      <c r="B6" s="246">
        <f t="shared" si="0"/>
        <v>1385.0460653184805</v>
      </c>
      <c r="C6" s="243">
        <f t="shared" si="1"/>
        <v>1385.0460653184805</v>
      </c>
      <c r="D6" s="244">
        <f>N70</f>
        <v>0</v>
      </c>
      <c r="E6" s="688"/>
      <c r="F6" s="241" t="s">
        <v>62</v>
      </c>
      <c r="G6" s="246">
        <f t="shared" si="2"/>
        <v>372.01897465514105</v>
      </c>
      <c r="H6" s="243">
        <f t="shared" si="3"/>
        <v>372.01897465514105</v>
      </c>
      <c r="I6" s="244"/>
      <c r="J6" s="688"/>
      <c r="K6" s="369" t="s">
        <v>62</v>
      </c>
      <c r="L6" s="370">
        <f t="shared" si="4"/>
        <v>1385.0460653184805</v>
      </c>
      <c r="M6" s="371">
        <f>'ANNEXE 1 Grille'!B4*(N$27-M$24)</f>
        <v>777.18343042789877</v>
      </c>
      <c r="N6" s="372">
        <f t="shared" si="5"/>
        <v>607.86263489058183</v>
      </c>
      <c r="P6" s="369" t="s">
        <v>62</v>
      </c>
      <c r="Q6" s="370">
        <f t="shared" si="7"/>
        <v>372.01897465514105</v>
      </c>
      <c r="R6" s="371">
        <f>'ANNEXE 1 Grille'!B4*(S$27-R$24)</f>
        <v>208.74900131229157</v>
      </c>
      <c r="S6" s="372">
        <f t="shared" si="6"/>
        <v>163.26997334284948</v>
      </c>
    </row>
    <row r="7" spans="1:19" x14ac:dyDescent="0.25">
      <c r="A7" s="241" t="s">
        <v>63</v>
      </c>
      <c r="B7" s="246">
        <f>C7+D7</f>
        <v>12233.83590980945</v>
      </c>
      <c r="C7" s="243">
        <f t="shared" si="1"/>
        <v>9322.3917821013547</v>
      </c>
      <c r="D7" s="244">
        <f>E70</f>
        <v>2911.4441277080955</v>
      </c>
      <c r="E7" s="688"/>
      <c r="F7" s="241" t="s">
        <v>63</v>
      </c>
      <c r="G7" s="246">
        <f t="shared" si="2"/>
        <v>2503.9648275621735</v>
      </c>
      <c r="H7" s="243">
        <f t="shared" si="3"/>
        <v>2503.9648275621735</v>
      </c>
      <c r="I7" s="244"/>
      <c r="J7" s="688"/>
      <c r="K7" s="369" t="s">
        <v>63</v>
      </c>
      <c r="L7" s="370">
        <f>M7+N7</f>
        <v>9322.3917821013547</v>
      </c>
      <c r="M7" s="371">
        <f>'ANNEXE 1 Grille'!B5*(N$27-M$24)</f>
        <v>8714.5291472107729</v>
      </c>
      <c r="N7" s="372">
        <f t="shared" si="5"/>
        <v>607.86263489058183</v>
      </c>
      <c r="P7" s="369" t="s">
        <v>63</v>
      </c>
      <c r="Q7" s="370">
        <f t="shared" si="7"/>
        <v>2503.9648275621735</v>
      </c>
      <c r="R7" s="371">
        <f>'ANNEXE 1 Grille'!B5*(S$27-R$24)</f>
        <v>2340.694854219324</v>
      </c>
      <c r="S7" s="372">
        <f t="shared" si="6"/>
        <v>163.26997334284948</v>
      </c>
    </row>
    <row r="8" spans="1:19" x14ac:dyDescent="0.25">
      <c r="A8" s="241" t="s">
        <v>64</v>
      </c>
      <c r="B8" s="246">
        <f t="shared" si="0"/>
        <v>7739.7923474220479</v>
      </c>
      <c r="C8" s="243">
        <f t="shared" si="1"/>
        <v>4828.3482197139519</v>
      </c>
      <c r="D8" s="244">
        <f>G70</f>
        <v>2911.4441277080955</v>
      </c>
      <c r="E8" s="688"/>
      <c r="F8" s="241" t="s">
        <v>64</v>
      </c>
      <c r="G8" s="246">
        <f t="shared" si="2"/>
        <v>1296.8789984345597</v>
      </c>
      <c r="H8" s="243">
        <f t="shared" si="3"/>
        <v>1296.8789984345597</v>
      </c>
      <c r="I8" s="244"/>
      <c r="J8" s="688"/>
      <c r="K8" s="369" t="s">
        <v>64</v>
      </c>
      <c r="L8" s="370">
        <f t="shared" si="4"/>
        <v>4828.3482197139519</v>
      </c>
      <c r="M8" s="371">
        <f>'ANNEXE 1 Grille'!B6*(N$27-M$24)</f>
        <v>4220.4855848233701</v>
      </c>
      <c r="N8" s="372">
        <f t="shared" si="5"/>
        <v>607.86263489058183</v>
      </c>
      <c r="P8" s="369" t="s">
        <v>64</v>
      </c>
      <c r="Q8" s="370">
        <f t="shared" si="7"/>
        <v>1296.8789984345597</v>
      </c>
      <c r="R8" s="371">
        <f>'ANNEXE 1 Grille'!B6*(S$27-R$24)</f>
        <v>1133.6090250917102</v>
      </c>
      <c r="S8" s="372">
        <f t="shared" si="6"/>
        <v>163.26997334284948</v>
      </c>
    </row>
    <row r="9" spans="1:19" x14ac:dyDescent="0.25">
      <c r="A9" s="241" t="s">
        <v>65</v>
      </c>
      <c r="B9" s="246">
        <f t="shared" si="0"/>
        <v>848.80230183261278</v>
      </c>
      <c r="C9" s="243">
        <f t="shared" si="1"/>
        <v>848.80230183261278</v>
      </c>
      <c r="D9" s="244">
        <f>0</f>
        <v>0</v>
      </c>
      <c r="E9" s="688"/>
      <c r="F9" s="241" t="s">
        <v>65</v>
      </c>
      <c r="G9" s="246">
        <f t="shared" si="2"/>
        <v>227.98560273161985</v>
      </c>
      <c r="H9" s="243">
        <f t="shared" si="3"/>
        <v>227.98560273161985</v>
      </c>
      <c r="I9" s="244"/>
      <c r="J9" s="688"/>
      <c r="K9" s="369" t="s">
        <v>65</v>
      </c>
      <c r="L9" s="370">
        <f t="shared" si="4"/>
        <v>848.80230183261278</v>
      </c>
      <c r="M9" s="371">
        <f>'ANNEXE 1 Grille'!B7*(N$27-M$24)</f>
        <v>240.9396669420309</v>
      </c>
      <c r="N9" s="372">
        <f t="shared" si="5"/>
        <v>607.86263489058183</v>
      </c>
      <c r="P9" s="369" t="s">
        <v>65</v>
      </c>
      <c r="Q9" s="370">
        <f t="shared" si="7"/>
        <v>227.98560273161985</v>
      </c>
      <c r="R9" s="371">
        <f>'ANNEXE 1 Grille'!B7*(S$27-R$24)</f>
        <v>64.715629388770381</v>
      </c>
      <c r="S9" s="372">
        <f t="shared" si="6"/>
        <v>163.26997334284948</v>
      </c>
    </row>
    <row r="10" spans="1:19" x14ac:dyDescent="0.25">
      <c r="A10" s="241" t="s">
        <v>66</v>
      </c>
      <c r="B10" s="246">
        <f t="shared" si="0"/>
        <v>0</v>
      </c>
      <c r="C10" s="243">
        <f t="shared" si="1"/>
        <v>0</v>
      </c>
      <c r="D10" s="244">
        <v>0</v>
      </c>
      <c r="E10" s="688"/>
      <c r="F10" s="241" t="s">
        <v>66</v>
      </c>
      <c r="G10" s="246">
        <f t="shared" si="2"/>
        <v>0</v>
      </c>
      <c r="H10" s="243">
        <f t="shared" si="3"/>
        <v>0</v>
      </c>
      <c r="I10" s="244"/>
      <c r="J10" s="688"/>
      <c r="K10" s="369" t="s">
        <v>66</v>
      </c>
      <c r="L10" s="370">
        <f t="shared" si="4"/>
        <v>0</v>
      </c>
      <c r="M10" s="371"/>
      <c r="N10" s="372">
        <f t="shared" si="5"/>
        <v>0</v>
      </c>
      <c r="P10" s="369" t="s">
        <v>66</v>
      </c>
      <c r="Q10" s="370">
        <f t="shared" si="7"/>
        <v>0</v>
      </c>
      <c r="R10" s="371"/>
      <c r="S10" s="372">
        <f t="shared" si="6"/>
        <v>0</v>
      </c>
    </row>
    <row r="11" spans="1:19" x14ac:dyDescent="0.25">
      <c r="A11" s="241" t="s">
        <v>67</v>
      </c>
      <c r="B11" s="246">
        <f t="shared" si="0"/>
        <v>0</v>
      </c>
      <c r="C11" s="243">
        <f t="shared" si="1"/>
        <v>0</v>
      </c>
      <c r="D11" s="244">
        <v>0</v>
      </c>
      <c r="E11" s="688"/>
      <c r="F11" s="241" t="s">
        <v>67</v>
      </c>
      <c r="G11" s="246">
        <f t="shared" si="2"/>
        <v>0</v>
      </c>
      <c r="H11" s="243">
        <f t="shared" si="3"/>
        <v>0</v>
      </c>
      <c r="I11" s="244"/>
      <c r="J11" s="688"/>
      <c r="K11" s="369" t="s">
        <v>67</v>
      </c>
      <c r="L11" s="370">
        <f t="shared" si="4"/>
        <v>0</v>
      </c>
      <c r="M11" s="371"/>
      <c r="N11" s="372">
        <f t="shared" si="5"/>
        <v>0</v>
      </c>
      <c r="P11" s="369" t="s">
        <v>67</v>
      </c>
      <c r="Q11" s="370">
        <f t="shared" si="7"/>
        <v>0</v>
      </c>
      <c r="R11" s="371"/>
      <c r="S11" s="372">
        <f t="shared" si="6"/>
        <v>0</v>
      </c>
    </row>
    <row r="12" spans="1:19" x14ac:dyDescent="0.25">
      <c r="A12" s="241" t="s">
        <v>68</v>
      </c>
      <c r="B12" s="246">
        <f t="shared" si="0"/>
        <v>8843.0719595307492</v>
      </c>
      <c r="C12" s="243">
        <f t="shared" si="1"/>
        <v>8843.0719595307492</v>
      </c>
      <c r="D12" s="244">
        <f>0</f>
        <v>0</v>
      </c>
      <c r="E12" s="688"/>
      <c r="F12" s="241" t="s">
        <v>68</v>
      </c>
      <c r="G12" s="246">
        <f t="shared" si="2"/>
        <v>2375.2210453951893</v>
      </c>
      <c r="H12" s="243">
        <f t="shared" si="3"/>
        <v>2375.2210453951893</v>
      </c>
      <c r="I12" s="244"/>
      <c r="J12" s="688"/>
      <c r="K12" s="369" t="s">
        <v>68</v>
      </c>
      <c r="L12" s="370">
        <f t="shared" si="4"/>
        <v>8843.0719595307492</v>
      </c>
      <c r="M12" s="371">
        <f>'ANNEXE 1 Grille'!B10*(N$27-M$24)</f>
        <v>8235.2093246401673</v>
      </c>
      <c r="N12" s="372">
        <f t="shared" si="5"/>
        <v>607.86263489058183</v>
      </c>
      <c r="P12" s="369" t="s">
        <v>68</v>
      </c>
      <c r="Q12" s="370">
        <f t="shared" si="7"/>
        <v>2375.2210453951893</v>
      </c>
      <c r="R12" s="371">
        <f>'ANNEXE 1 Grille'!B10*(S$27-R$24)</f>
        <v>2211.9510720523399</v>
      </c>
      <c r="S12" s="372">
        <f t="shared" si="6"/>
        <v>163.26997334284948</v>
      </c>
    </row>
    <row r="13" spans="1:19" x14ac:dyDescent="0.25">
      <c r="A13" s="241" t="s">
        <v>69</v>
      </c>
      <c r="B13" s="246">
        <f t="shared" si="0"/>
        <v>7782.6107237341294</v>
      </c>
      <c r="C13" s="243">
        <f t="shared" si="1"/>
        <v>4871.1665960260334</v>
      </c>
      <c r="D13" s="244">
        <f>F70</f>
        <v>2911.4441277080955</v>
      </c>
      <c r="E13" s="688"/>
      <c r="F13" s="241" t="s">
        <v>69</v>
      </c>
      <c r="G13" s="246">
        <f t="shared" si="2"/>
        <v>1308.3798783337099</v>
      </c>
      <c r="H13" s="243">
        <f t="shared" si="3"/>
        <v>1308.3798783337099</v>
      </c>
      <c r="I13" s="244"/>
      <c r="J13" s="688"/>
      <c r="K13" s="369" t="s">
        <v>69</v>
      </c>
      <c r="L13" s="370">
        <f t="shared" si="4"/>
        <v>4871.1665960260334</v>
      </c>
      <c r="M13" s="371">
        <f>'ANNEXE 1 Grille'!B11*(N$27-M$24)</f>
        <v>4263.3039611354516</v>
      </c>
      <c r="N13" s="372">
        <f t="shared" si="5"/>
        <v>607.86263489058183</v>
      </c>
      <c r="P13" s="369" t="s">
        <v>69</v>
      </c>
      <c r="Q13" s="370">
        <f t="shared" si="7"/>
        <v>1308.3798783337099</v>
      </c>
      <c r="R13" s="371">
        <f>'ANNEXE 1 Grille'!B11*(S$27-R$24)</f>
        <v>1145.1099049908605</v>
      </c>
      <c r="S13" s="372">
        <f t="shared" si="6"/>
        <v>163.26997334284948</v>
      </c>
    </row>
    <row r="14" spans="1:19" x14ac:dyDescent="0.25">
      <c r="A14" s="241" t="s">
        <v>70</v>
      </c>
      <c r="B14" s="246">
        <f t="shared" si="0"/>
        <v>7285.7642888280316</v>
      </c>
      <c r="C14" s="243">
        <f t="shared" si="1"/>
        <v>4374.3201611199356</v>
      </c>
      <c r="D14" s="244">
        <f>J70</f>
        <v>2911.4441277080955</v>
      </c>
      <c r="E14" s="688"/>
      <c r="F14" s="241" t="s">
        <v>70</v>
      </c>
      <c r="G14" s="246">
        <f t="shared" si="2"/>
        <v>1174.9285037526581</v>
      </c>
      <c r="H14" s="243">
        <f t="shared" si="3"/>
        <v>1174.9285037526581</v>
      </c>
      <c r="I14" s="244"/>
      <c r="J14" s="688"/>
      <c r="K14" s="369" t="s">
        <v>70</v>
      </c>
      <c r="L14" s="370">
        <f t="shared" si="4"/>
        <v>4374.3201611199356</v>
      </c>
      <c r="M14" s="371">
        <f>'ANNEXE 1 Grille'!B12*(N$27-M$24)</f>
        <v>3766.4575262293538</v>
      </c>
      <c r="N14" s="372">
        <f t="shared" si="5"/>
        <v>607.86263489058183</v>
      </c>
      <c r="P14" s="369" t="s">
        <v>70</v>
      </c>
      <c r="Q14" s="370">
        <f t="shared" si="7"/>
        <v>1174.9285037526581</v>
      </c>
      <c r="R14" s="371">
        <f>'ANNEXE 1 Grille'!B12*(S$27-R$24)</f>
        <v>1011.6585304098087</v>
      </c>
      <c r="S14" s="372">
        <f t="shared" si="6"/>
        <v>163.26997334284948</v>
      </c>
    </row>
    <row r="15" spans="1:19" x14ac:dyDescent="0.25">
      <c r="A15" s="241" t="s">
        <v>71</v>
      </c>
      <c r="B15" s="246">
        <f t="shared" si="0"/>
        <v>0</v>
      </c>
      <c r="C15" s="243">
        <f t="shared" si="1"/>
        <v>0</v>
      </c>
      <c r="D15" s="244">
        <f>0</f>
        <v>0</v>
      </c>
      <c r="E15" s="688"/>
      <c r="F15" s="241" t="s">
        <v>71</v>
      </c>
      <c r="G15" s="246">
        <f t="shared" si="2"/>
        <v>0</v>
      </c>
      <c r="H15" s="243">
        <f t="shared" si="3"/>
        <v>0</v>
      </c>
      <c r="I15" s="244"/>
      <c r="J15" s="688"/>
      <c r="K15" s="369" t="s">
        <v>71</v>
      </c>
      <c r="L15" s="370">
        <f t="shared" si="4"/>
        <v>0</v>
      </c>
      <c r="M15" s="371"/>
      <c r="N15" s="372">
        <f t="shared" si="5"/>
        <v>0</v>
      </c>
      <c r="P15" s="369" t="s">
        <v>71</v>
      </c>
      <c r="Q15" s="370">
        <f t="shared" si="7"/>
        <v>0</v>
      </c>
      <c r="R15" s="371"/>
      <c r="S15" s="372">
        <f t="shared" si="6"/>
        <v>0</v>
      </c>
    </row>
    <row r="16" spans="1:19" x14ac:dyDescent="0.25">
      <c r="A16" s="241" t="s">
        <v>72</v>
      </c>
      <c r="B16" s="246">
        <f t="shared" si="0"/>
        <v>3253.136145754057</v>
      </c>
      <c r="C16" s="243">
        <f t="shared" si="1"/>
        <v>2805.221664568196</v>
      </c>
      <c r="D16" s="244">
        <f>L70</f>
        <v>447.91448118586089</v>
      </c>
      <c r="E16" s="688"/>
      <c r="F16" s="241" t="s">
        <v>72</v>
      </c>
      <c r="G16" s="246">
        <f t="shared" si="2"/>
        <v>753.47363056338577</v>
      </c>
      <c r="H16" s="243">
        <f t="shared" si="3"/>
        <v>753.47363056338577</v>
      </c>
      <c r="I16" s="244"/>
      <c r="J16" s="688"/>
      <c r="K16" s="369" t="s">
        <v>72</v>
      </c>
      <c r="L16" s="370">
        <f t="shared" si="4"/>
        <v>2805.221664568196</v>
      </c>
      <c r="M16" s="371">
        <f>'ANNEXE 1 Grille'!B14*(N$27-M$24)</f>
        <v>2197.3590296776142</v>
      </c>
      <c r="N16" s="372">
        <f t="shared" si="5"/>
        <v>607.86263489058183</v>
      </c>
      <c r="P16" s="369" t="s">
        <v>72</v>
      </c>
      <c r="Q16" s="370">
        <f t="shared" si="7"/>
        <v>753.47363056338577</v>
      </c>
      <c r="R16" s="371">
        <f>'ANNEXE 1 Grille'!B14*(S$27-R$24)</f>
        <v>590.20365722053623</v>
      </c>
      <c r="S16" s="372">
        <f t="shared" si="6"/>
        <v>163.26997334284948</v>
      </c>
    </row>
    <row r="17" spans="1:19" x14ac:dyDescent="0.25">
      <c r="A17" s="241" t="s">
        <v>73</v>
      </c>
      <c r="B17" s="246">
        <f t="shared" si="0"/>
        <v>8217.4429991657671</v>
      </c>
      <c r="C17" s="243">
        <f t="shared" si="1"/>
        <v>5305.9988714576721</v>
      </c>
      <c r="D17" s="244">
        <f>D70</f>
        <v>2911.4441277080955</v>
      </c>
      <c r="E17" s="688"/>
      <c r="F17" s="241" t="s">
        <v>73</v>
      </c>
      <c r="G17" s="246">
        <f t="shared" si="2"/>
        <v>1425.1744466182263</v>
      </c>
      <c r="H17" s="243">
        <f t="shared" si="3"/>
        <v>1425.1744466182263</v>
      </c>
      <c r="I17" s="244"/>
      <c r="J17" s="688"/>
      <c r="K17" s="369" t="s">
        <v>73</v>
      </c>
      <c r="L17" s="370">
        <f t="shared" si="4"/>
        <v>5305.9988714576721</v>
      </c>
      <c r="M17" s="371">
        <f>'ANNEXE 1 Grille'!B15*(N$27-M$24)</f>
        <v>4698.1362365670902</v>
      </c>
      <c r="N17" s="372">
        <f t="shared" si="5"/>
        <v>607.86263489058183</v>
      </c>
      <c r="P17" s="369" t="s">
        <v>73</v>
      </c>
      <c r="Q17" s="370">
        <f t="shared" si="7"/>
        <v>1425.1744466182263</v>
      </c>
      <c r="R17" s="371">
        <f>'ANNEXE 1 Grille'!B15*(S$27-R$24)</f>
        <v>1261.9044732753769</v>
      </c>
      <c r="S17" s="372">
        <f t="shared" si="6"/>
        <v>163.26997334284948</v>
      </c>
    </row>
    <row r="18" spans="1:19" x14ac:dyDescent="0.25">
      <c r="A18" s="241" t="s">
        <v>74</v>
      </c>
      <c r="B18" s="246">
        <f t="shared" si="0"/>
        <v>1595.2062412109515</v>
      </c>
      <c r="C18" s="243">
        <f t="shared" si="1"/>
        <v>1595.2062412109515</v>
      </c>
      <c r="D18" s="244">
        <f>M70</f>
        <v>0</v>
      </c>
      <c r="E18" s="688"/>
      <c r="F18" s="241" t="s">
        <v>74</v>
      </c>
      <c r="G18" s="246">
        <f t="shared" si="2"/>
        <v>428.46733049439848</v>
      </c>
      <c r="H18" s="243">
        <f t="shared" si="3"/>
        <v>428.46733049439848</v>
      </c>
      <c r="I18" s="244"/>
      <c r="J18" s="688"/>
      <c r="K18" s="369" t="s">
        <v>74</v>
      </c>
      <c r="L18" s="370">
        <f t="shared" si="4"/>
        <v>1595.2062412109515</v>
      </c>
      <c r="M18" s="371">
        <f>'ANNEXE 1 Grille'!B16*(N$27-M$24)</f>
        <v>987.34360632036964</v>
      </c>
      <c r="N18" s="372">
        <f t="shared" si="5"/>
        <v>607.86263489058183</v>
      </c>
      <c r="P18" s="369" t="s">
        <v>74</v>
      </c>
      <c r="Q18" s="370">
        <f t="shared" si="7"/>
        <v>428.46733049439848</v>
      </c>
      <c r="R18" s="371">
        <f>'ANNEXE 1 Grille'!B16*(S$27-R$24)</f>
        <v>265.197357151549</v>
      </c>
      <c r="S18" s="372">
        <f t="shared" si="6"/>
        <v>163.26997334284948</v>
      </c>
    </row>
    <row r="19" spans="1:19" x14ac:dyDescent="0.25">
      <c r="A19" s="241" t="s">
        <v>75</v>
      </c>
      <c r="B19" s="246">
        <f t="shared" si="0"/>
        <v>2393.4049270414735</v>
      </c>
      <c r="C19" s="243">
        <f t="shared" si="1"/>
        <v>2393.4049270414735</v>
      </c>
      <c r="D19" s="244">
        <f>K70</f>
        <v>0</v>
      </c>
      <c r="E19" s="688"/>
      <c r="F19" s="241" t="s">
        <v>75</v>
      </c>
      <c r="G19" s="246">
        <f t="shared" si="2"/>
        <v>642.86096266970912</v>
      </c>
      <c r="H19" s="243">
        <f t="shared" si="3"/>
        <v>642.86096266970912</v>
      </c>
      <c r="I19" s="244"/>
      <c r="J19" s="688"/>
      <c r="K19" s="369" t="s">
        <v>75</v>
      </c>
      <c r="L19" s="370">
        <f t="shared" si="4"/>
        <v>2393.4049270414735</v>
      </c>
      <c r="M19" s="371">
        <f>'ANNEXE 1 Grille'!B17*(N$27-M$24)</f>
        <v>1785.5422921508919</v>
      </c>
      <c r="N19" s="372">
        <f t="shared" si="5"/>
        <v>607.86263489058183</v>
      </c>
      <c r="P19" s="369" t="s">
        <v>75</v>
      </c>
      <c r="Q19" s="370">
        <f t="shared" si="7"/>
        <v>642.86096266970912</v>
      </c>
      <c r="R19" s="371">
        <f>'ANNEXE 1 Grille'!B17*(S$27-R$24)</f>
        <v>479.5909893268597</v>
      </c>
      <c r="S19" s="372">
        <f t="shared" si="6"/>
        <v>163.26997334284948</v>
      </c>
    </row>
    <row r="20" spans="1:19" x14ac:dyDescent="0.25">
      <c r="A20" s="241" t="s">
        <v>76</v>
      </c>
      <c r="B20" s="246">
        <f t="shared" si="0"/>
        <v>1700.7806276305391</v>
      </c>
      <c r="C20" s="243">
        <f t="shared" si="1"/>
        <v>1700.7806276305391</v>
      </c>
      <c r="D20" s="244">
        <f>0</f>
        <v>0</v>
      </c>
      <c r="E20" s="688"/>
      <c r="F20" s="241" t="s">
        <v>76</v>
      </c>
      <c r="G20" s="246">
        <f t="shared" si="2"/>
        <v>456.82427541422646</v>
      </c>
      <c r="H20" s="243">
        <f t="shared" si="3"/>
        <v>456.82427541422646</v>
      </c>
      <c r="I20" s="244"/>
      <c r="J20" s="688"/>
      <c r="K20" s="369" t="s">
        <v>76</v>
      </c>
      <c r="L20" s="370">
        <f t="shared" si="4"/>
        <v>1700.7806276305391</v>
      </c>
      <c r="M20" s="371">
        <f>'ANNEXE 1 Grille'!B18*(N$27-M$24)</f>
        <v>1092.9179927399573</v>
      </c>
      <c r="N20" s="372">
        <f t="shared" si="5"/>
        <v>607.86263489058183</v>
      </c>
      <c r="P20" s="369" t="s">
        <v>76</v>
      </c>
      <c r="Q20" s="370">
        <f t="shared" si="7"/>
        <v>456.82427541422646</v>
      </c>
      <c r="R20" s="371">
        <f>'ANNEXE 1 Grille'!B18*(S$27-R$24)</f>
        <v>293.55430207137698</v>
      </c>
      <c r="S20" s="372">
        <f t="shared" si="6"/>
        <v>163.26997334284948</v>
      </c>
    </row>
    <row r="21" spans="1:19" x14ac:dyDescent="0.25">
      <c r="A21" s="241" t="s">
        <v>77</v>
      </c>
      <c r="B21" s="246">
        <f t="shared" si="0"/>
        <v>0</v>
      </c>
      <c r="C21" s="243">
        <f t="shared" si="1"/>
        <v>0</v>
      </c>
      <c r="D21" s="244">
        <f>0</f>
        <v>0</v>
      </c>
      <c r="E21" s="688"/>
      <c r="F21" s="241" t="s">
        <v>77</v>
      </c>
      <c r="G21" s="246">
        <f t="shared" si="2"/>
        <v>0</v>
      </c>
      <c r="H21" s="243">
        <f t="shared" si="3"/>
        <v>0</v>
      </c>
      <c r="I21" s="244"/>
      <c r="J21" s="688"/>
      <c r="K21" s="369" t="s">
        <v>77</v>
      </c>
      <c r="L21" s="370">
        <f t="shared" si="4"/>
        <v>0</v>
      </c>
      <c r="M21" s="371"/>
      <c r="N21" s="372">
        <f t="shared" si="5"/>
        <v>0</v>
      </c>
      <c r="P21" s="369" t="s">
        <v>77</v>
      </c>
      <c r="Q21" s="370">
        <f t="shared" si="7"/>
        <v>0</v>
      </c>
      <c r="R21" s="371"/>
      <c r="S21" s="372">
        <f t="shared" si="6"/>
        <v>0</v>
      </c>
    </row>
    <row r="22" spans="1:19" x14ac:dyDescent="0.25">
      <c r="A22" s="241" t="s">
        <v>78</v>
      </c>
      <c r="B22" s="246">
        <f t="shared" si="0"/>
        <v>9667.3159333518943</v>
      </c>
      <c r="C22" s="243">
        <f t="shared" si="1"/>
        <v>6755.8718056437992</v>
      </c>
      <c r="D22" s="244">
        <f>H70</f>
        <v>2911.4441277080955</v>
      </c>
      <c r="E22" s="688"/>
      <c r="F22" s="241" t="s">
        <v>78</v>
      </c>
      <c r="G22" s="246">
        <f t="shared" si="2"/>
        <v>1814.6057123805942</v>
      </c>
      <c r="H22" s="243">
        <f t="shared" si="3"/>
        <v>1814.6057123805942</v>
      </c>
      <c r="I22" s="244"/>
      <c r="J22" s="688"/>
      <c r="K22" s="369" t="s">
        <v>78</v>
      </c>
      <c r="L22" s="370">
        <f t="shared" si="4"/>
        <v>6755.8718056437992</v>
      </c>
      <c r="M22" s="371">
        <f>'ANNEXE 1 Grille'!B20*(N$27-M$24)</f>
        <v>6148.0091707532174</v>
      </c>
      <c r="N22" s="372">
        <f t="shared" si="5"/>
        <v>607.86263489058183</v>
      </c>
      <c r="P22" s="369" t="s">
        <v>78</v>
      </c>
      <c r="Q22" s="370">
        <f t="shared" si="7"/>
        <v>1814.6057123805942</v>
      </c>
      <c r="R22" s="371">
        <f>'ANNEXE 1 Grille'!B20*(S$27-R$24)</f>
        <v>1651.3357390377448</v>
      </c>
      <c r="S22" s="372">
        <f t="shared" si="6"/>
        <v>163.26997334284948</v>
      </c>
    </row>
    <row r="23" spans="1:19" x14ac:dyDescent="0.25">
      <c r="A23" s="241" t="s">
        <v>79</v>
      </c>
      <c r="B23" s="246">
        <f t="shared" si="0"/>
        <v>0</v>
      </c>
      <c r="C23" s="243">
        <f t="shared" si="1"/>
        <v>0</v>
      </c>
      <c r="D23" s="244">
        <v>0</v>
      </c>
      <c r="E23" s="688"/>
      <c r="F23" s="241" t="s">
        <v>79</v>
      </c>
      <c r="G23" s="246">
        <f t="shared" si="2"/>
        <v>0</v>
      </c>
      <c r="H23" s="243">
        <f t="shared" si="3"/>
        <v>0</v>
      </c>
      <c r="I23" s="244"/>
      <c r="J23" s="688"/>
      <c r="K23" s="369" t="s">
        <v>79</v>
      </c>
      <c r="L23" s="370">
        <f t="shared" si="4"/>
        <v>0</v>
      </c>
      <c r="M23" s="371"/>
      <c r="N23" s="372">
        <f t="shared" si="5"/>
        <v>0</v>
      </c>
      <c r="P23" s="369" t="s">
        <v>79</v>
      </c>
      <c r="Q23" s="370">
        <f t="shared" si="7"/>
        <v>0</v>
      </c>
      <c r="R23" s="371"/>
      <c r="S23" s="372">
        <f t="shared" si="6"/>
        <v>0</v>
      </c>
    </row>
    <row r="24" spans="1:19" x14ac:dyDescent="0.25">
      <c r="A24" s="241" t="s">
        <v>80</v>
      </c>
      <c r="B24" s="246">
        <f t="shared" si="0"/>
        <v>0</v>
      </c>
      <c r="C24" s="243">
        <f t="shared" si="1"/>
        <v>0</v>
      </c>
      <c r="D24" s="244">
        <v>0</v>
      </c>
      <c r="E24" s="688"/>
      <c r="F24" s="241" t="s">
        <v>80</v>
      </c>
      <c r="G24" s="246">
        <f t="shared" si="2"/>
        <v>0</v>
      </c>
      <c r="H24" s="243">
        <f t="shared" si="3"/>
        <v>0</v>
      </c>
      <c r="I24" s="244"/>
      <c r="J24" s="688"/>
      <c r="K24" s="369" t="s">
        <v>80</v>
      </c>
      <c r="L24" s="370">
        <f t="shared" si="4"/>
        <v>0</v>
      </c>
      <c r="M24" s="371">
        <v>0</v>
      </c>
      <c r="N24" s="372"/>
      <c r="P24" s="369" t="s">
        <v>80</v>
      </c>
      <c r="Q24" s="370">
        <f t="shared" si="7"/>
        <v>0</v>
      </c>
      <c r="R24" s="371">
        <v>0</v>
      </c>
      <c r="S24" s="372"/>
    </row>
    <row r="25" spans="1:19" x14ac:dyDescent="0.25">
      <c r="A25" s="620" t="s">
        <v>188</v>
      </c>
      <c r="B25" s="650">
        <f t="shared" si="0"/>
        <v>38716.516609654129</v>
      </c>
      <c r="C25" s="622">
        <f>C56*40/100</f>
        <v>38716.516609654129</v>
      </c>
      <c r="D25" s="623">
        <v>0</v>
      </c>
      <c r="E25" s="688"/>
      <c r="F25" s="620" t="s">
        <v>188</v>
      </c>
      <c r="G25" s="650">
        <f t="shared" si="2"/>
        <v>10399.133409350057</v>
      </c>
      <c r="H25" s="622">
        <f>H56*40/100</f>
        <v>10399.133409350057</v>
      </c>
      <c r="I25" s="623"/>
      <c r="J25" s="688"/>
      <c r="K25" s="369"/>
      <c r="L25" s="370"/>
      <c r="M25" s="371"/>
      <c r="N25" s="372"/>
      <c r="P25" s="369"/>
      <c r="Q25" s="370"/>
      <c r="R25" s="371"/>
      <c r="S25" s="372"/>
    </row>
    <row r="26" spans="1:19" ht="42.75" customHeight="1" x14ac:dyDescent="0.25">
      <c r="A26" s="491" t="s">
        <v>239</v>
      </c>
      <c r="B26" s="492">
        <f t="shared" si="0"/>
        <v>114707.87077156975</v>
      </c>
      <c r="C26" s="490">
        <f>SUM(C4:C25)</f>
        <v>96791.291524135318</v>
      </c>
      <c r="D26" s="260">
        <f>SUM(D4:D25)</f>
        <v>17916.579247434434</v>
      </c>
      <c r="E26" s="688"/>
      <c r="F26" s="491" t="s">
        <v>239</v>
      </c>
      <c r="G26" s="492">
        <f>H26+I26</f>
        <v>25997.833523375142</v>
      </c>
      <c r="H26" s="490">
        <f>SUM(H4:H25)</f>
        <v>25997.833523375142</v>
      </c>
      <c r="I26" s="260"/>
      <c r="J26" s="688"/>
      <c r="K26" s="191" t="s">
        <v>239</v>
      </c>
      <c r="L26" s="373">
        <f>SUM(L4:L25)</f>
        <v>58074.77491448119</v>
      </c>
      <c r="M26" s="374">
        <f>SUM(M4:M25)</f>
        <v>49564.698026013044</v>
      </c>
      <c r="N26" s="375">
        <f>SUM(N4:N25)</f>
        <v>8510.0768884681456</v>
      </c>
      <c r="P26" s="191" t="s">
        <v>239</v>
      </c>
      <c r="Q26" s="373">
        <f>SUM(Q4:Q25)</f>
        <v>15598.700114025087</v>
      </c>
      <c r="R26" s="374">
        <f>SUM(R4:R25)</f>
        <v>13312.920487225192</v>
      </c>
      <c r="S26" s="375">
        <f>SUM(S4:S25)</f>
        <v>2285.7796267998924</v>
      </c>
    </row>
    <row r="27" spans="1:19" ht="45" x14ac:dyDescent="0.25">
      <c r="A27" s="495" t="s">
        <v>301</v>
      </c>
      <c r="B27" s="490">
        <f>SUM(B4:B25)</f>
        <v>114707.87077156975</v>
      </c>
      <c r="C27" s="538">
        <f>SUM(C4:C25)</f>
        <v>96791.291524135318</v>
      </c>
      <c r="D27" s="259">
        <f>SUM(D4:D25)</f>
        <v>17916.579247434434</v>
      </c>
      <c r="E27" s="694"/>
      <c r="F27" s="495" t="s">
        <v>301</v>
      </c>
      <c r="G27" s="525">
        <f>SUM(G4:G25)</f>
        <v>25997.833523375142</v>
      </c>
      <c r="H27" s="526">
        <f>SUM(H4:H25)</f>
        <v>25997.833523375142</v>
      </c>
      <c r="I27" s="246"/>
      <c r="J27" s="694"/>
      <c r="K27" s="376" t="s">
        <v>301</v>
      </c>
      <c r="L27" s="377"/>
      <c r="M27" s="377">
        <f>N27-SUM(M4:M24)</f>
        <v>8510.0768884681456</v>
      </c>
      <c r="N27" s="378">
        <f>C56*60/100</f>
        <v>58074.77491448119</v>
      </c>
      <c r="P27" s="376" t="s">
        <v>301</v>
      </c>
      <c r="Q27" s="377"/>
      <c r="R27" s="377">
        <f>S27-SUM(R4:R24)</f>
        <v>2285.7796267998929</v>
      </c>
      <c r="S27" s="378">
        <f>H56*60/100</f>
        <v>15598.700114025085</v>
      </c>
    </row>
    <row r="28" spans="1:19" s="382" customFormat="1" x14ac:dyDescent="0.25">
      <c r="A28" s="498" t="s">
        <v>240</v>
      </c>
      <c r="B28" s="499">
        <f>SUM(B4:B25)-C56-C65</f>
        <v>0</v>
      </c>
      <c r="C28" s="499"/>
      <c r="D28" s="380"/>
      <c r="E28" s="381"/>
      <c r="F28" s="498" t="s">
        <v>240</v>
      </c>
      <c r="G28" s="499">
        <f>G26-H56</f>
        <v>0</v>
      </c>
      <c r="H28" s="499"/>
      <c r="I28" s="380"/>
      <c r="J28" s="381"/>
      <c r="K28" s="383" t="s">
        <v>240</v>
      </c>
      <c r="L28" s="384">
        <f>SUM(L4:L25)-(C56*60/100)</f>
        <v>0</v>
      </c>
      <c r="M28" s="385"/>
      <c r="N28" s="384"/>
      <c r="P28" s="383" t="s">
        <v>240</v>
      </c>
      <c r="Q28" s="384">
        <f>Q26-H56*60/100</f>
        <v>0</v>
      </c>
      <c r="R28" s="385"/>
      <c r="S28" s="384"/>
    </row>
    <row r="29" spans="1:19" s="382" customFormat="1" x14ac:dyDescent="0.25">
      <c r="A29" s="658"/>
      <c r="B29" s="499"/>
      <c r="C29" s="499"/>
      <c r="D29" s="380"/>
      <c r="E29" s="381"/>
      <c r="F29" s="658"/>
      <c r="G29" s="499"/>
      <c r="H29" s="499"/>
      <c r="I29" s="380"/>
      <c r="J29" s="381"/>
      <c r="K29" s="436"/>
      <c r="L29" s="384"/>
      <c r="M29" s="384"/>
      <c r="N29" s="384"/>
      <c r="P29" s="436"/>
      <c r="Q29" s="384"/>
      <c r="R29" s="384"/>
      <c r="S29" s="384"/>
    </row>
    <row r="30" spans="1:19" s="382" customFormat="1" ht="60" x14ac:dyDescent="0.25">
      <c r="A30" s="658" t="s">
        <v>335</v>
      </c>
      <c r="B30" s="665" t="s">
        <v>336</v>
      </c>
      <c r="C30" s="660" t="s">
        <v>237</v>
      </c>
      <c r="D30" s="660" t="s">
        <v>334</v>
      </c>
      <c r="E30" s="381"/>
      <c r="F30" s="658"/>
      <c r="G30" s="499"/>
      <c r="H30" s="499"/>
      <c r="I30" s="380"/>
      <c r="J30" s="381"/>
      <c r="K30" s="436"/>
      <c r="L30" s="384"/>
      <c r="M30" s="384"/>
      <c r="N30" s="384"/>
      <c r="P30" s="436"/>
      <c r="Q30" s="384"/>
      <c r="R30" s="384"/>
      <c r="S30" s="384"/>
    </row>
    <row r="31" spans="1:19" s="382" customFormat="1" x14ac:dyDescent="0.25">
      <c r="A31" s="451" t="s">
        <v>60</v>
      </c>
      <c r="B31" s="667">
        <f>B4+G4</f>
        <v>3863.0596163049195</v>
      </c>
      <c r="C31" s="670">
        <f>C4+H4</f>
        <v>3863.0596163049195</v>
      </c>
      <c r="D31" s="662">
        <f>D4+I4</f>
        <v>0</v>
      </c>
      <c r="E31" s="381"/>
      <c r="F31" s="658"/>
      <c r="G31" s="499"/>
      <c r="H31" s="499"/>
      <c r="I31" s="380"/>
      <c r="J31" s="381"/>
      <c r="K31" s="436"/>
      <c r="L31" s="384"/>
      <c r="M31" s="384"/>
      <c r="N31" s="384"/>
      <c r="P31" s="436"/>
      <c r="Q31" s="384"/>
      <c r="R31" s="384"/>
      <c r="S31" s="384"/>
    </row>
    <row r="32" spans="1:19" s="382" customFormat="1" x14ac:dyDescent="0.25">
      <c r="A32" s="451" t="s">
        <v>61</v>
      </c>
      <c r="B32" s="668">
        <f t="shared" ref="B32:B52" si="8">B5+G5</f>
        <v>0</v>
      </c>
      <c r="C32" s="671">
        <f t="shared" ref="C32:C52" si="9">C5+H5</f>
        <v>0</v>
      </c>
      <c r="D32" s="663">
        <f t="shared" ref="D32:D52" si="10">D5+I5</f>
        <v>0</v>
      </c>
      <c r="E32" s="381"/>
      <c r="F32" s="658"/>
      <c r="G32" s="499"/>
      <c r="H32" s="499"/>
      <c r="I32" s="380"/>
      <c r="J32" s="381"/>
      <c r="K32" s="436"/>
      <c r="L32" s="384"/>
      <c r="M32" s="384"/>
      <c r="N32" s="384"/>
      <c r="P32" s="436"/>
      <c r="Q32" s="384"/>
      <c r="R32" s="384"/>
      <c r="S32" s="384"/>
    </row>
    <row r="33" spans="1:19" s="382" customFormat="1" x14ac:dyDescent="0.25">
      <c r="A33" s="451" t="s">
        <v>62</v>
      </c>
      <c r="B33" s="668">
        <f t="shared" si="8"/>
        <v>1757.0650399736214</v>
      </c>
      <c r="C33" s="671">
        <f t="shared" si="9"/>
        <v>1757.0650399736214</v>
      </c>
      <c r="D33" s="663">
        <f t="shared" si="10"/>
        <v>0</v>
      </c>
      <c r="E33" s="381"/>
      <c r="F33" s="658"/>
      <c r="G33" s="499"/>
      <c r="H33" s="499"/>
      <c r="I33" s="380"/>
      <c r="J33" s="381"/>
      <c r="K33" s="436"/>
      <c r="L33" s="384"/>
      <c r="M33" s="384"/>
      <c r="N33" s="384"/>
      <c r="P33" s="436"/>
      <c r="Q33" s="384"/>
      <c r="R33" s="384"/>
      <c r="S33" s="384"/>
    </row>
    <row r="34" spans="1:19" s="382" customFormat="1" x14ac:dyDescent="0.25">
      <c r="A34" s="451" t="s">
        <v>63</v>
      </c>
      <c r="B34" s="668">
        <f t="shared" si="8"/>
        <v>14737.800737371623</v>
      </c>
      <c r="C34" s="671">
        <f t="shared" si="9"/>
        <v>11826.356609663528</v>
      </c>
      <c r="D34" s="663">
        <f t="shared" si="10"/>
        <v>2911.4441277080955</v>
      </c>
      <c r="E34" s="381"/>
      <c r="F34" s="658"/>
      <c r="G34" s="499"/>
      <c r="H34" s="499"/>
      <c r="I34" s="380"/>
      <c r="J34" s="381"/>
      <c r="K34" s="436"/>
      <c r="L34" s="384"/>
      <c r="M34" s="384"/>
      <c r="N34" s="384"/>
      <c r="P34" s="436"/>
      <c r="Q34" s="384"/>
      <c r="R34" s="384"/>
      <c r="S34" s="384"/>
    </row>
    <row r="35" spans="1:19" s="382" customFormat="1" x14ac:dyDescent="0.25">
      <c r="A35" s="451" t="s">
        <v>64</v>
      </c>
      <c r="B35" s="668">
        <f t="shared" si="8"/>
        <v>9036.6713458566082</v>
      </c>
      <c r="C35" s="671">
        <f t="shared" si="9"/>
        <v>6125.2272181485114</v>
      </c>
      <c r="D35" s="663">
        <f t="shared" si="10"/>
        <v>2911.4441277080955</v>
      </c>
      <c r="E35" s="381"/>
      <c r="F35" s="658"/>
      <c r="G35" s="499"/>
      <c r="H35" s="499"/>
      <c r="I35" s="380"/>
      <c r="J35" s="381"/>
      <c r="K35" s="436"/>
      <c r="L35" s="384"/>
      <c r="M35" s="384"/>
      <c r="N35" s="384"/>
      <c r="P35" s="436"/>
      <c r="Q35" s="384"/>
      <c r="R35" s="384"/>
      <c r="S35" s="384"/>
    </row>
    <row r="36" spans="1:19" s="382" customFormat="1" x14ac:dyDescent="0.25">
      <c r="A36" s="451" t="s">
        <v>65</v>
      </c>
      <c r="B36" s="668">
        <f t="shared" si="8"/>
        <v>1076.7879045642326</v>
      </c>
      <c r="C36" s="671">
        <f t="shared" si="9"/>
        <v>1076.7879045642326</v>
      </c>
      <c r="D36" s="663">
        <f t="shared" si="10"/>
        <v>0</v>
      </c>
      <c r="E36" s="381"/>
      <c r="F36" s="658"/>
      <c r="G36" s="499"/>
      <c r="H36" s="499"/>
      <c r="I36" s="380"/>
      <c r="J36" s="381"/>
      <c r="K36" s="436"/>
      <c r="L36" s="384"/>
      <c r="M36" s="384"/>
      <c r="N36" s="384"/>
      <c r="P36" s="436"/>
      <c r="Q36" s="384"/>
      <c r="R36" s="384"/>
      <c r="S36" s="384"/>
    </row>
    <row r="37" spans="1:19" s="382" customFormat="1" x14ac:dyDescent="0.25">
      <c r="A37" s="451" t="s">
        <v>66</v>
      </c>
      <c r="B37" s="668">
        <f t="shared" si="8"/>
        <v>0</v>
      </c>
      <c r="C37" s="671">
        <f t="shared" si="9"/>
        <v>0</v>
      </c>
      <c r="D37" s="663">
        <f t="shared" si="10"/>
        <v>0</v>
      </c>
      <c r="E37" s="381"/>
      <c r="F37" s="658"/>
      <c r="G37" s="499"/>
      <c r="H37" s="499"/>
      <c r="I37" s="380"/>
      <c r="J37" s="381"/>
      <c r="K37" s="436"/>
      <c r="L37" s="384"/>
      <c r="M37" s="384"/>
      <c r="N37" s="384"/>
      <c r="P37" s="436"/>
      <c r="Q37" s="384"/>
      <c r="R37" s="384"/>
      <c r="S37" s="384"/>
    </row>
    <row r="38" spans="1:19" s="382" customFormat="1" x14ac:dyDescent="0.25">
      <c r="A38" s="451" t="s">
        <v>67</v>
      </c>
      <c r="B38" s="668">
        <f t="shared" si="8"/>
        <v>0</v>
      </c>
      <c r="C38" s="671">
        <f t="shared" si="9"/>
        <v>0</v>
      </c>
      <c r="D38" s="663">
        <f t="shared" si="10"/>
        <v>0</v>
      </c>
      <c r="E38" s="381"/>
      <c r="F38" s="658"/>
      <c r="G38" s="499"/>
      <c r="H38" s="499"/>
      <c r="I38" s="380"/>
      <c r="J38" s="381"/>
      <c r="K38" s="436"/>
      <c r="L38" s="384"/>
      <c r="M38" s="384"/>
      <c r="N38" s="384"/>
      <c r="P38" s="436"/>
      <c r="Q38" s="384"/>
      <c r="R38" s="384"/>
      <c r="S38" s="384"/>
    </row>
    <row r="39" spans="1:19" s="382" customFormat="1" x14ac:dyDescent="0.25">
      <c r="A39" s="451" t="s">
        <v>68</v>
      </c>
      <c r="B39" s="668">
        <f t="shared" si="8"/>
        <v>11218.293004925938</v>
      </c>
      <c r="C39" s="671">
        <f t="shared" si="9"/>
        <v>11218.293004925938</v>
      </c>
      <c r="D39" s="663">
        <f t="shared" si="10"/>
        <v>0</v>
      </c>
      <c r="E39" s="381"/>
      <c r="F39" s="658"/>
      <c r="G39" s="499"/>
      <c r="H39" s="499"/>
      <c r="I39" s="380"/>
      <c r="J39" s="381"/>
      <c r="K39" s="436"/>
      <c r="L39" s="384"/>
      <c r="M39" s="384"/>
      <c r="N39" s="384"/>
      <c r="P39" s="436"/>
      <c r="Q39" s="384"/>
      <c r="R39" s="384"/>
      <c r="S39" s="384"/>
    </row>
    <row r="40" spans="1:19" s="382" customFormat="1" x14ac:dyDescent="0.25">
      <c r="A40" s="451" t="s">
        <v>69</v>
      </c>
      <c r="B40" s="668">
        <f t="shared" si="8"/>
        <v>9090.9906020678391</v>
      </c>
      <c r="C40" s="671">
        <f t="shared" si="9"/>
        <v>6179.5464743597431</v>
      </c>
      <c r="D40" s="663">
        <f t="shared" si="10"/>
        <v>2911.4441277080955</v>
      </c>
      <c r="E40" s="381"/>
      <c r="F40" s="658"/>
      <c r="G40" s="499"/>
      <c r="H40" s="499"/>
      <c r="I40" s="380"/>
      <c r="J40" s="381"/>
      <c r="K40" s="436"/>
      <c r="L40" s="384"/>
      <c r="M40" s="384"/>
      <c r="N40" s="384"/>
      <c r="P40" s="436"/>
      <c r="Q40" s="384"/>
      <c r="R40" s="384"/>
      <c r="S40" s="384"/>
    </row>
    <row r="41" spans="1:19" s="382" customFormat="1" x14ac:dyDescent="0.25">
      <c r="A41" s="451" t="s">
        <v>70</v>
      </c>
      <c r="B41" s="668">
        <f t="shared" si="8"/>
        <v>8460.6927925806904</v>
      </c>
      <c r="C41" s="671">
        <f t="shared" si="9"/>
        <v>5549.2486648725935</v>
      </c>
      <c r="D41" s="663">
        <f t="shared" si="10"/>
        <v>2911.4441277080955</v>
      </c>
      <c r="E41" s="381"/>
      <c r="F41" s="658"/>
      <c r="G41" s="499"/>
      <c r="H41" s="499"/>
      <c r="I41" s="380"/>
      <c r="J41" s="381"/>
      <c r="K41" s="436"/>
      <c r="L41" s="384"/>
      <c r="M41" s="384"/>
      <c r="N41" s="384"/>
      <c r="P41" s="436"/>
      <c r="Q41" s="384"/>
      <c r="R41" s="384"/>
      <c r="S41" s="384"/>
    </row>
    <row r="42" spans="1:19" s="382" customFormat="1" x14ac:dyDescent="0.25">
      <c r="A42" s="451" t="s">
        <v>71</v>
      </c>
      <c r="B42" s="668">
        <f t="shared" si="8"/>
        <v>0</v>
      </c>
      <c r="C42" s="671">
        <f t="shared" si="9"/>
        <v>0</v>
      </c>
      <c r="D42" s="663">
        <f t="shared" si="10"/>
        <v>0</v>
      </c>
      <c r="E42" s="381"/>
      <c r="F42" s="658"/>
      <c r="G42" s="499"/>
      <c r="H42" s="499"/>
      <c r="I42" s="380"/>
      <c r="J42" s="381"/>
      <c r="K42" s="436"/>
      <c r="L42" s="384"/>
      <c r="M42" s="384"/>
      <c r="N42" s="384"/>
      <c r="P42" s="436"/>
      <c r="Q42" s="384"/>
      <c r="R42" s="384"/>
      <c r="S42" s="384"/>
    </row>
    <row r="43" spans="1:19" s="382" customFormat="1" x14ac:dyDescent="0.25">
      <c r="A43" s="451" t="s">
        <v>72</v>
      </c>
      <c r="B43" s="668">
        <f t="shared" si="8"/>
        <v>4006.609776317443</v>
      </c>
      <c r="C43" s="671">
        <f t="shared" si="9"/>
        <v>3558.6952951315816</v>
      </c>
      <c r="D43" s="663">
        <f t="shared" si="10"/>
        <v>447.91448118586089</v>
      </c>
      <c r="E43" s="381"/>
      <c r="F43" s="658"/>
      <c r="G43" s="499"/>
      <c r="H43" s="499"/>
      <c r="I43" s="380"/>
      <c r="J43" s="381"/>
      <c r="K43" s="436"/>
      <c r="L43" s="384"/>
      <c r="M43" s="384"/>
      <c r="N43" s="384"/>
      <c r="P43" s="436"/>
      <c r="Q43" s="384"/>
      <c r="R43" s="384"/>
      <c r="S43" s="384"/>
    </row>
    <row r="44" spans="1:19" s="382" customFormat="1" x14ac:dyDescent="0.25">
      <c r="A44" s="451" t="s">
        <v>73</v>
      </c>
      <c r="B44" s="668">
        <f t="shared" si="8"/>
        <v>9642.6174457839934</v>
      </c>
      <c r="C44" s="671">
        <f t="shared" si="9"/>
        <v>6731.1733180758984</v>
      </c>
      <c r="D44" s="663">
        <f t="shared" si="10"/>
        <v>2911.4441277080955</v>
      </c>
      <c r="E44" s="381"/>
      <c r="F44" s="658"/>
      <c r="G44" s="499"/>
      <c r="H44" s="499"/>
      <c r="I44" s="380"/>
      <c r="J44" s="381"/>
      <c r="K44" s="436"/>
      <c r="L44" s="384"/>
      <c r="M44" s="384"/>
      <c r="N44" s="384"/>
      <c r="P44" s="436"/>
      <c r="Q44" s="384"/>
      <c r="R44" s="384"/>
      <c r="S44" s="384"/>
    </row>
    <row r="45" spans="1:19" s="382" customFormat="1" x14ac:dyDescent="0.25">
      <c r="A45" s="451" t="s">
        <v>74</v>
      </c>
      <c r="B45" s="668">
        <f t="shared" si="8"/>
        <v>2023.67357170535</v>
      </c>
      <c r="C45" s="671">
        <f t="shared" si="9"/>
        <v>2023.67357170535</v>
      </c>
      <c r="D45" s="663">
        <f t="shared" si="10"/>
        <v>0</v>
      </c>
      <c r="E45" s="381"/>
      <c r="F45" s="658"/>
      <c r="G45" s="499"/>
      <c r="H45" s="499"/>
      <c r="I45" s="380"/>
      <c r="J45" s="381"/>
      <c r="K45" s="436"/>
      <c r="L45" s="384"/>
      <c r="M45" s="384"/>
      <c r="N45" s="384"/>
      <c r="P45" s="436"/>
      <c r="Q45" s="384"/>
      <c r="R45" s="384"/>
      <c r="S45" s="384"/>
    </row>
    <row r="46" spans="1:19" s="382" customFormat="1" x14ac:dyDescent="0.25">
      <c r="A46" s="451" t="s">
        <v>75</v>
      </c>
      <c r="B46" s="668">
        <f t="shared" si="8"/>
        <v>3036.2658897111824</v>
      </c>
      <c r="C46" s="671">
        <f t="shared" si="9"/>
        <v>3036.2658897111824</v>
      </c>
      <c r="D46" s="663">
        <f t="shared" si="10"/>
        <v>0</v>
      </c>
      <c r="E46" s="381"/>
      <c r="F46" s="658"/>
      <c r="G46" s="499"/>
      <c r="H46" s="499"/>
      <c r="I46" s="380"/>
      <c r="J46" s="381"/>
      <c r="K46" s="436"/>
      <c r="L46" s="384"/>
      <c r="M46" s="384"/>
      <c r="N46" s="384"/>
      <c r="P46" s="436"/>
      <c r="Q46" s="384"/>
      <c r="R46" s="384"/>
      <c r="S46" s="384"/>
    </row>
    <row r="47" spans="1:19" s="382" customFormat="1" x14ac:dyDescent="0.25">
      <c r="A47" s="451" t="s">
        <v>76</v>
      </c>
      <c r="B47" s="668">
        <f t="shared" si="8"/>
        <v>2157.6049030447657</v>
      </c>
      <c r="C47" s="671">
        <f t="shared" si="9"/>
        <v>2157.6049030447657</v>
      </c>
      <c r="D47" s="663">
        <f t="shared" si="10"/>
        <v>0</v>
      </c>
      <c r="E47" s="381"/>
      <c r="F47" s="658"/>
      <c r="G47" s="499"/>
      <c r="H47" s="499"/>
      <c r="I47" s="380"/>
      <c r="J47" s="381"/>
      <c r="K47" s="436"/>
      <c r="L47" s="384"/>
      <c r="M47" s="384"/>
      <c r="N47" s="384"/>
      <c r="P47" s="436"/>
      <c r="Q47" s="384"/>
      <c r="R47" s="384"/>
      <c r="S47" s="384"/>
    </row>
    <row r="48" spans="1:19" s="382" customFormat="1" x14ac:dyDescent="0.25">
      <c r="A48" s="451" t="s">
        <v>77</v>
      </c>
      <c r="B48" s="668">
        <f t="shared" si="8"/>
        <v>0</v>
      </c>
      <c r="C48" s="671">
        <f t="shared" si="9"/>
        <v>0</v>
      </c>
      <c r="D48" s="663">
        <f t="shared" si="10"/>
        <v>0</v>
      </c>
      <c r="E48" s="381"/>
      <c r="F48" s="658"/>
      <c r="G48" s="499"/>
      <c r="H48" s="499"/>
      <c r="I48" s="380"/>
      <c r="J48" s="381"/>
      <c r="K48" s="436"/>
      <c r="L48" s="384"/>
      <c r="M48" s="384"/>
      <c r="N48" s="384"/>
      <c r="P48" s="436"/>
      <c r="Q48" s="384"/>
      <c r="R48" s="384"/>
      <c r="S48" s="384"/>
    </row>
    <row r="49" spans="1:19" s="382" customFormat="1" x14ac:dyDescent="0.25">
      <c r="A49" s="451" t="s">
        <v>78</v>
      </c>
      <c r="B49" s="668">
        <f t="shared" si="8"/>
        <v>11481.921645732489</v>
      </c>
      <c r="C49" s="671">
        <f t="shared" si="9"/>
        <v>8570.4775180243942</v>
      </c>
      <c r="D49" s="663">
        <f t="shared" si="10"/>
        <v>2911.4441277080955</v>
      </c>
      <c r="E49" s="381"/>
      <c r="F49" s="658"/>
      <c r="G49" s="499"/>
      <c r="H49" s="499"/>
      <c r="I49" s="380"/>
      <c r="J49" s="381"/>
      <c r="K49" s="436"/>
      <c r="L49" s="384"/>
      <c r="M49" s="384"/>
      <c r="N49" s="384"/>
      <c r="P49" s="436"/>
      <c r="Q49" s="384"/>
      <c r="R49" s="384"/>
      <c r="S49" s="384"/>
    </row>
    <row r="50" spans="1:19" s="382" customFormat="1" x14ac:dyDescent="0.25">
      <c r="A50" s="451" t="s">
        <v>79</v>
      </c>
      <c r="B50" s="668">
        <f t="shared" si="8"/>
        <v>0</v>
      </c>
      <c r="C50" s="671">
        <f t="shared" si="9"/>
        <v>0</v>
      </c>
      <c r="D50" s="663">
        <f t="shared" si="10"/>
        <v>0</v>
      </c>
      <c r="E50" s="381"/>
      <c r="F50" s="658"/>
      <c r="G50" s="499"/>
      <c r="H50" s="499"/>
      <c r="I50" s="380"/>
      <c r="J50" s="381"/>
      <c r="K50" s="436"/>
      <c r="L50" s="384"/>
      <c r="M50" s="384"/>
      <c r="N50" s="384"/>
      <c r="P50" s="436"/>
      <c r="Q50" s="384"/>
      <c r="R50" s="384"/>
      <c r="S50" s="384"/>
    </row>
    <row r="51" spans="1:19" s="382" customFormat="1" x14ac:dyDescent="0.25">
      <c r="A51" s="451" t="s">
        <v>80</v>
      </c>
      <c r="B51" s="668">
        <f t="shared" si="8"/>
        <v>0</v>
      </c>
      <c r="C51" s="671">
        <f t="shared" si="9"/>
        <v>0</v>
      </c>
      <c r="D51" s="663">
        <f t="shared" si="10"/>
        <v>0</v>
      </c>
      <c r="E51" s="381"/>
      <c r="F51" s="658"/>
      <c r="G51" s="499"/>
      <c r="H51" s="499"/>
      <c r="I51" s="380"/>
      <c r="J51" s="381"/>
      <c r="K51" s="436"/>
      <c r="L51" s="384"/>
      <c r="M51" s="384"/>
      <c r="N51" s="384"/>
      <c r="P51" s="436"/>
      <c r="Q51" s="384"/>
      <c r="R51" s="384"/>
      <c r="S51" s="384"/>
    </row>
    <row r="52" spans="1:19" s="382" customFormat="1" x14ac:dyDescent="0.25">
      <c r="A52" s="666" t="s">
        <v>188</v>
      </c>
      <c r="B52" s="669">
        <f t="shared" si="8"/>
        <v>49115.650019004184</v>
      </c>
      <c r="C52" s="672">
        <f t="shared" si="9"/>
        <v>49115.650019004184</v>
      </c>
      <c r="D52" s="664">
        <f t="shared" si="10"/>
        <v>0</v>
      </c>
      <c r="E52" s="381"/>
      <c r="F52" s="658"/>
      <c r="G52" s="499"/>
      <c r="H52" s="499"/>
      <c r="I52" s="380"/>
      <c r="J52" s="381"/>
      <c r="K52" s="436"/>
      <c r="L52" s="384"/>
      <c r="M52" s="384"/>
      <c r="N52" s="384"/>
      <c r="P52" s="436"/>
      <c r="Q52" s="384"/>
      <c r="R52" s="384"/>
      <c r="S52" s="384"/>
    </row>
    <row r="53" spans="1:19" s="382" customFormat="1" ht="30" x14ac:dyDescent="0.25">
      <c r="A53" s="659" t="s">
        <v>337</v>
      </c>
      <c r="B53" s="661">
        <f>SUM(B31:B52)</f>
        <v>140705.70429494488</v>
      </c>
      <c r="C53" s="661">
        <f>C27+H27</f>
        <v>122789.12504751046</v>
      </c>
      <c r="D53" s="661">
        <f>D27+I27</f>
        <v>17916.579247434434</v>
      </c>
      <c r="E53" s="381"/>
      <c r="F53" s="658"/>
      <c r="G53" s="499"/>
      <c r="H53" s="499"/>
      <c r="I53" s="380"/>
      <c r="J53" s="381"/>
      <c r="K53" s="436"/>
      <c r="L53" s="384"/>
      <c r="M53" s="384"/>
      <c r="N53" s="384"/>
      <c r="P53" s="436"/>
      <c r="Q53" s="384"/>
      <c r="R53" s="384"/>
      <c r="S53" s="384"/>
    </row>
    <row r="54" spans="1:19" ht="45" customHeight="1" x14ac:dyDescent="0.25">
      <c r="A54" s="673" t="s">
        <v>83</v>
      </c>
      <c r="B54" s="386">
        <f>B53-SUM(B31:B52)</f>
        <v>0</v>
      </c>
      <c r="C54" s="386">
        <f t="shared" ref="C54:D54" si="11">C53-SUM(C31:C52)</f>
        <v>0</v>
      </c>
      <c r="D54" s="386">
        <f t="shared" si="11"/>
        <v>0</v>
      </c>
      <c r="E54" s="328"/>
      <c r="G54" s="334"/>
      <c r="H54" s="387"/>
      <c r="I54" s="264"/>
      <c r="J54" s="328"/>
      <c r="K54" s="388"/>
      <c r="L54" s="389"/>
      <c r="N54" s="264"/>
    </row>
    <row r="55" spans="1:19" ht="28.5" customHeight="1" x14ac:dyDescent="0.25">
      <c r="A55" s="924" t="s">
        <v>302</v>
      </c>
      <c r="B55" s="924"/>
      <c r="C55" s="390">
        <f>SUBTOTAL(3,M4:M23)</f>
        <v>14</v>
      </c>
      <c r="F55" s="924" t="s">
        <v>302</v>
      </c>
      <c r="G55" s="924"/>
      <c r="H55" s="390">
        <f>SUBTOTAL(3,R4:R23)</f>
        <v>14</v>
      </c>
    </row>
    <row r="56" spans="1:19" ht="15" customHeight="1" x14ac:dyDescent="0.25">
      <c r="A56" s="920" t="s">
        <v>319</v>
      </c>
      <c r="B56" s="920"/>
      <c r="C56" s="586">
        <f>C58*C60</f>
        <v>96791.291524135318</v>
      </c>
      <c r="D56" s="652"/>
      <c r="E56" s="652"/>
      <c r="F56" s="920" t="s">
        <v>319</v>
      </c>
      <c r="G56" s="920"/>
      <c r="H56" s="586">
        <f>H58*H60</f>
        <v>25997.833523375142</v>
      </c>
      <c r="J56" s="652"/>
    </row>
    <row r="57" spans="1:19" ht="30" customHeight="1" x14ac:dyDescent="0.25">
      <c r="A57" s="920" t="s">
        <v>245</v>
      </c>
      <c r="B57" s="920"/>
      <c r="C57" s="586">
        <f>C56*1.2</f>
        <v>116149.54982896238</v>
      </c>
      <c r="D57" s="652"/>
      <c r="E57" s="652"/>
      <c r="F57" s="920" t="s">
        <v>245</v>
      </c>
      <c r="G57" s="920"/>
      <c r="H57" s="586">
        <f>H59*H60</f>
        <v>31197.400228050174</v>
      </c>
      <c r="J57" s="652"/>
    </row>
    <row r="58" spans="1:19" ht="30" customHeight="1" x14ac:dyDescent="0.25">
      <c r="A58" s="920" t="s">
        <v>305</v>
      </c>
      <c r="B58" s="920"/>
      <c r="C58" s="586">
        <v>92704</v>
      </c>
      <c r="D58" s="652"/>
      <c r="E58" s="652"/>
      <c r="F58" s="920" t="s">
        <v>305</v>
      </c>
      <c r="G58" s="920"/>
      <c r="H58" s="586">
        <v>24900</v>
      </c>
      <c r="J58" s="652"/>
    </row>
    <row r="59" spans="1:19" ht="30" customHeight="1" x14ac:dyDescent="0.25">
      <c r="A59" s="920" t="s">
        <v>247</v>
      </c>
      <c r="B59" s="920"/>
      <c r="C59" s="586">
        <f>C58*1.2</f>
        <v>111244.8</v>
      </c>
      <c r="D59" s="652"/>
      <c r="E59" s="652"/>
      <c r="F59" s="920" t="s">
        <v>247</v>
      </c>
      <c r="G59" s="920"/>
      <c r="H59" s="586">
        <f>H58*1.2</f>
        <v>29880</v>
      </c>
      <c r="J59" s="652"/>
    </row>
    <row r="60" spans="1:19" ht="15.75" customHeight="1" x14ac:dyDescent="0.25">
      <c r="A60" s="920" t="s">
        <v>338</v>
      </c>
      <c r="B60" s="920"/>
      <c r="C60" s="594">
        <f>2747/2631</f>
        <v>1.0440896997339415</v>
      </c>
      <c r="D60" s="652"/>
      <c r="E60" s="652"/>
      <c r="F60" s="920" t="s">
        <v>338</v>
      </c>
      <c r="G60" s="920"/>
      <c r="H60" s="594">
        <f>C60</f>
        <v>1.0440896997339415</v>
      </c>
      <c r="J60" s="652"/>
    </row>
    <row r="61" spans="1:19" ht="12" customHeight="1" x14ac:dyDescent="0.25">
      <c r="A61" s="340"/>
      <c r="C61" s="188"/>
    </row>
    <row r="62" spans="1:19" hidden="1" x14ac:dyDescent="0.25">
      <c r="A62" s="856" t="s">
        <v>321</v>
      </c>
      <c r="B62" s="856"/>
      <c r="C62" s="856"/>
    </row>
    <row r="63" spans="1:19" hidden="1" x14ac:dyDescent="0.25">
      <c r="A63" s="336"/>
      <c r="B63" s="337"/>
      <c r="C63" s="339"/>
      <c r="D63" s="308"/>
      <c r="E63" s="308"/>
      <c r="F63" s="276"/>
      <c r="J63" s="308"/>
    </row>
    <row r="64" spans="1:19" x14ac:dyDescent="0.25">
      <c r="A64" s="929" t="s">
        <v>249</v>
      </c>
      <c r="B64" s="929"/>
      <c r="C64" s="929"/>
    </row>
    <row r="65" spans="1:15" x14ac:dyDescent="0.25">
      <c r="A65" s="391" t="s">
        <v>306</v>
      </c>
      <c r="B65" s="392"/>
      <c r="C65" s="393">
        <f>O71</f>
        <v>17916.579247434434</v>
      </c>
      <c r="G65" s="264"/>
    </row>
    <row r="66" spans="1:15" ht="45" x14ac:dyDescent="0.25">
      <c r="A66" s="391" t="s">
        <v>307</v>
      </c>
      <c r="B66" s="392"/>
      <c r="C66" s="393">
        <f>O72</f>
        <v>0</v>
      </c>
    </row>
    <row r="67" spans="1:15" x14ac:dyDescent="0.25">
      <c r="B67" s="250"/>
      <c r="C67" s="340"/>
      <c r="D67" s="340"/>
    </row>
    <row r="68" spans="1:15" x14ac:dyDescent="0.25">
      <c r="A68" s="277" t="s">
        <v>339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</row>
    <row r="69" spans="1:15" s="293" customFormat="1" x14ac:dyDescent="0.25">
      <c r="A69" s="851">
        <v>2021</v>
      </c>
      <c r="B69" s="851"/>
      <c r="C69" s="851"/>
      <c r="D69" s="283" t="s">
        <v>73</v>
      </c>
      <c r="E69" s="283" t="s">
        <v>63</v>
      </c>
      <c r="F69" s="283" t="s">
        <v>69</v>
      </c>
      <c r="G69" s="283" t="s">
        <v>64</v>
      </c>
      <c r="H69" s="284" t="s">
        <v>78</v>
      </c>
      <c r="I69" s="283" t="s">
        <v>60</v>
      </c>
      <c r="J69" s="283" t="s">
        <v>63</v>
      </c>
      <c r="K69" s="283" t="s">
        <v>75</v>
      </c>
      <c r="L69" s="283" t="s">
        <v>72</v>
      </c>
      <c r="M69" s="283" t="s">
        <v>74</v>
      </c>
      <c r="N69" s="283" t="s">
        <v>62</v>
      </c>
      <c r="O69" s="285" t="s">
        <v>43</v>
      </c>
    </row>
    <row r="70" spans="1:15" s="293" customFormat="1" x14ac:dyDescent="0.25">
      <c r="A70" s="852" t="s">
        <v>257</v>
      </c>
      <c r="B70" s="852"/>
      <c r="C70" s="852"/>
      <c r="D70" s="615">
        <f>SUM(D71:D72)</f>
        <v>2911.4441277080955</v>
      </c>
      <c r="E70" s="615">
        <f t="shared" ref="E70:N70" si="12">SUM(E71:E72)</f>
        <v>2911.4441277080955</v>
      </c>
      <c r="F70" s="615">
        <f t="shared" si="12"/>
        <v>2911.4441277080955</v>
      </c>
      <c r="G70" s="615">
        <f t="shared" si="12"/>
        <v>2911.4441277080955</v>
      </c>
      <c r="H70" s="615">
        <f t="shared" si="12"/>
        <v>2911.4441277080955</v>
      </c>
      <c r="I70" s="615">
        <f t="shared" si="12"/>
        <v>0</v>
      </c>
      <c r="J70" s="615">
        <f t="shared" ref="J70" si="13">SUM(J71:J72)</f>
        <v>2911.4441277080955</v>
      </c>
      <c r="K70" s="615">
        <f t="shared" si="12"/>
        <v>0</v>
      </c>
      <c r="L70" s="615">
        <f t="shared" si="12"/>
        <v>447.91448118586089</v>
      </c>
      <c r="M70" s="615">
        <f t="shared" si="12"/>
        <v>0</v>
      </c>
      <c r="N70" s="615">
        <f t="shared" si="12"/>
        <v>0</v>
      </c>
      <c r="O70" s="653">
        <f>SUM(D70:N70)</f>
        <v>17916.579247434434</v>
      </c>
    </row>
    <row r="71" spans="1:15" s="293" customFormat="1" x14ac:dyDescent="0.25">
      <c r="A71" s="852" t="s">
        <v>340</v>
      </c>
      <c r="B71" s="852"/>
      <c r="C71" s="852"/>
      <c r="D71" s="616">
        <f>D77</f>
        <v>2911.4441277080955</v>
      </c>
      <c r="E71" s="616">
        <f t="shared" ref="E71:N71" si="14">E77</f>
        <v>2911.4441277080955</v>
      </c>
      <c r="F71" s="616">
        <f t="shared" si="14"/>
        <v>2911.4441277080955</v>
      </c>
      <c r="G71" s="616">
        <f t="shared" si="14"/>
        <v>2911.4441277080955</v>
      </c>
      <c r="H71" s="616">
        <f t="shared" si="14"/>
        <v>2911.4441277080955</v>
      </c>
      <c r="I71" s="616">
        <f t="shared" si="14"/>
        <v>0</v>
      </c>
      <c r="J71" s="616">
        <f t="shared" ref="J71" si="15">J77</f>
        <v>2911.4441277080955</v>
      </c>
      <c r="K71" s="616">
        <f t="shared" si="14"/>
        <v>0</v>
      </c>
      <c r="L71" s="616">
        <f t="shared" si="14"/>
        <v>447.91448118586089</v>
      </c>
      <c r="M71" s="616">
        <f t="shared" si="14"/>
        <v>0</v>
      </c>
      <c r="N71" s="616">
        <f t="shared" si="14"/>
        <v>0</v>
      </c>
      <c r="O71" s="654">
        <f>O77</f>
        <v>17916.579247434434</v>
      </c>
    </row>
    <row r="72" spans="1:15" s="293" customFormat="1" x14ac:dyDescent="0.25">
      <c r="A72" s="852" t="s">
        <v>341</v>
      </c>
      <c r="B72" s="852"/>
      <c r="C72" s="852"/>
      <c r="D72" s="616">
        <f>D120</f>
        <v>0</v>
      </c>
      <c r="E72" s="616">
        <f t="shared" ref="E72:N72" si="16">E120</f>
        <v>0</v>
      </c>
      <c r="F72" s="616">
        <f t="shared" si="16"/>
        <v>0</v>
      </c>
      <c r="G72" s="616">
        <f t="shared" si="16"/>
        <v>0</v>
      </c>
      <c r="H72" s="616">
        <f t="shared" si="16"/>
        <v>0</v>
      </c>
      <c r="I72" s="616">
        <f t="shared" si="16"/>
        <v>0</v>
      </c>
      <c r="J72" s="616">
        <f t="shared" ref="J72" si="17">J120</f>
        <v>0</v>
      </c>
      <c r="K72" s="616">
        <f t="shared" si="16"/>
        <v>0</v>
      </c>
      <c r="L72" s="616">
        <f t="shared" si="16"/>
        <v>0</v>
      </c>
      <c r="M72" s="616">
        <f t="shared" si="16"/>
        <v>0</v>
      </c>
      <c r="N72" s="616">
        <f t="shared" si="16"/>
        <v>0</v>
      </c>
      <c r="O72" s="653">
        <f>SUM(D72:N72)</f>
        <v>0</v>
      </c>
    </row>
    <row r="73" spans="1:15" x14ac:dyDescent="0.25">
      <c r="A73" s="290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O73" s="328">
        <f>SUM(O71:O72)</f>
        <v>17916.579247434434</v>
      </c>
    </row>
    <row r="74" spans="1:15" x14ac:dyDescent="0.25">
      <c r="A74" s="290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</row>
    <row r="75" spans="1:15" x14ac:dyDescent="0.25">
      <c r="A75" s="295" t="s">
        <v>311</v>
      </c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</row>
    <row r="76" spans="1:15" ht="29.25" customHeight="1" x14ac:dyDescent="0.25">
      <c r="A76" s="927" t="s">
        <v>312</v>
      </c>
      <c r="B76" s="927"/>
      <c r="C76" s="394" t="s">
        <v>342</v>
      </c>
      <c r="D76" s="299" t="s">
        <v>264</v>
      </c>
      <c r="E76" s="299" t="s">
        <v>63</v>
      </c>
      <c r="F76" s="299" t="s">
        <v>69</v>
      </c>
      <c r="G76" s="299" t="s">
        <v>64</v>
      </c>
      <c r="H76" s="300" t="s">
        <v>78</v>
      </c>
      <c r="I76" s="300" t="s">
        <v>60</v>
      </c>
      <c r="J76" s="299" t="s">
        <v>63</v>
      </c>
      <c r="K76" s="299" t="s">
        <v>75</v>
      </c>
      <c r="L76" s="299" t="s">
        <v>72</v>
      </c>
      <c r="M76" s="299" t="s">
        <v>74</v>
      </c>
      <c r="N76" s="299" t="s">
        <v>62</v>
      </c>
      <c r="O76" s="342" t="s">
        <v>43</v>
      </c>
    </row>
    <row r="77" spans="1:15" s="293" customFormat="1" x14ac:dyDescent="0.25">
      <c r="A77" s="555">
        <f>C60</f>
        <v>1.0440896997339415</v>
      </c>
      <c r="B77" s="656">
        <v>2021</v>
      </c>
      <c r="C77" s="612">
        <f>C80*A77</f>
        <v>17916.579247434434</v>
      </c>
      <c r="D77" s="653">
        <f>D78*($A$77/$A$78)</f>
        <v>2911.4441277080955</v>
      </c>
      <c r="E77" s="653">
        <f>E78*($A$77/$A$78)</f>
        <v>2911.4441277080955</v>
      </c>
      <c r="F77" s="653">
        <f t="shared" ref="F77:I77" si="18">F78*($A$77/$A$78)</f>
        <v>2911.4441277080955</v>
      </c>
      <c r="G77" s="653">
        <f t="shared" si="18"/>
        <v>2911.4441277080955</v>
      </c>
      <c r="H77" s="653">
        <f t="shared" si="18"/>
        <v>2911.4441277080955</v>
      </c>
      <c r="I77" s="653">
        <f t="shared" si="18"/>
        <v>0</v>
      </c>
      <c r="J77" s="653">
        <f>J78*($A$77/$A$78)</f>
        <v>2911.4441277080955</v>
      </c>
      <c r="K77" s="653">
        <f>K78*($A$77/$A$78)</f>
        <v>0</v>
      </c>
      <c r="L77" s="653">
        <f>L78*($A$77/$A$78)</f>
        <v>447.91448118586089</v>
      </c>
      <c r="M77" s="653">
        <f t="shared" ref="M77" si="19">M78*($A$77/$A$78)</f>
        <v>0</v>
      </c>
      <c r="N77" s="653">
        <f t="shared" ref="N77" si="20">N78*($A$77/$A$78)</f>
        <v>0</v>
      </c>
      <c r="O77" s="322">
        <f>SUM(D77:N77)</f>
        <v>17916.579247434434</v>
      </c>
    </row>
    <row r="78" spans="1:15" x14ac:dyDescent="0.25">
      <c r="A78" s="395">
        <f>2741/2631</f>
        <v>1.0418091980235651</v>
      </c>
      <c r="B78" s="704">
        <v>2020</v>
      </c>
      <c r="C78" s="315">
        <f>C80*A78</f>
        <v>17877.445838084375</v>
      </c>
      <c r="D78" s="322">
        <f>($C$78-$L$78)/6</f>
        <v>2905.0849486887109</v>
      </c>
      <c r="E78" s="322">
        <f>($C$78-$L$78)/6</f>
        <v>2905.0849486887109</v>
      </c>
      <c r="F78" s="322">
        <f>($C$78-$L$78)/6</f>
        <v>2905.0849486887109</v>
      </c>
      <c r="G78" s="322">
        <f>($C$78-$L$78)/6</f>
        <v>2905.0849486887109</v>
      </c>
      <c r="H78" s="322">
        <f>($C$78-$L$78)/6</f>
        <v>2905.0849486887109</v>
      </c>
      <c r="I78" s="322">
        <v>0</v>
      </c>
      <c r="J78" s="322">
        <f>($C$78-$L$78)/6</f>
        <v>2905.0849486887109</v>
      </c>
      <c r="K78" s="322">
        <v>0</v>
      </c>
      <c r="L78" s="396">
        <f>L80*A78</f>
        <v>446.93614595210943</v>
      </c>
      <c r="M78" s="322">
        <v>0</v>
      </c>
      <c r="N78" s="322">
        <v>0</v>
      </c>
      <c r="O78" s="322">
        <f>SUM(D78:N78)</f>
        <v>17877.445838084375</v>
      </c>
    </row>
    <row r="79" spans="1:15" x14ac:dyDescent="0.25">
      <c r="A79" s="395"/>
      <c r="B79" s="704">
        <v>2019</v>
      </c>
      <c r="C79" s="315">
        <v>17877.445838084375</v>
      </c>
      <c r="D79" s="322">
        <v>2905.0849486887109</v>
      </c>
      <c r="E79" s="322">
        <v>2905.0849486887109</v>
      </c>
      <c r="F79" s="322">
        <v>2905.0849486887109</v>
      </c>
      <c r="G79" s="322">
        <v>2905.0849486887109</v>
      </c>
      <c r="H79" s="322">
        <v>2905.0849486887109</v>
      </c>
      <c r="I79" s="322">
        <v>0</v>
      </c>
      <c r="J79" s="322">
        <v>2905.0849486887109</v>
      </c>
      <c r="K79" s="322">
        <v>0</v>
      </c>
      <c r="L79" s="396">
        <v>446.93614595210943</v>
      </c>
      <c r="M79" s="322">
        <v>0</v>
      </c>
      <c r="N79" s="322">
        <v>0</v>
      </c>
      <c r="O79" s="322">
        <v>17877.445838084375</v>
      </c>
    </row>
    <row r="80" spans="1:15" s="289" customFormat="1" x14ac:dyDescent="0.25">
      <c r="A80" s="926">
        <v>2018</v>
      </c>
      <c r="B80" s="926"/>
      <c r="C80" s="397">
        <v>17160</v>
      </c>
      <c r="D80" s="322">
        <f>($C$80-$L$80)/6</f>
        <v>2788.5</v>
      </c>
      <c r="E80" s="322">
        <f>($C$80-$L$80)/6</f>
        <v>2788.5</v>
      </c>
      <c r="F80" s="322">
        <f>($C$80-$L$80)/6</f>
        <v>2788.5</v>
      </c>
      <c r="G80" s="322">
        <f>($C$80-$L$80)/6</f>
        <v>2788.5</v>
      </c>
      <c r="H80" s="322">
        <f>($C$80-$L$80)/6</f>
        <v>2788.5</v>
      </c>
      <c r="I80" s="322">
        <v>0</v>
      </c>
      <c r="J80" s="322">
        <f>($C$80-$L$80)/6</f>
        <v>2788.5</v>
      </c>
      <c r="K80" s="322">
        <v>0</v>
      </c>
      <c r="L80" s="322">
        <f>17160/40</f>
        <v>429</v>
      </c>
      <c r="M80" s="322">
        <v>0</v>
      </c>
      <c r="N80" s="322">
        <v>0</v>
      </c>
      <c r="O80" s="322">
        <f>SUM(D80:N80)</f>
        <v>17160</v>
      </c>
    </row>
    <row r="81" spans="1:15" s="401" customFormat="1" ht="7.5" customHeight="1" x14ac:dyDescent="0.25">
      <c r="A81" s="398"/>
      <c r="B81" s="398"/>
      <c r="C81" s="399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</row>
    <row r="82" spans="1:15" x14ac:dyDescent="0.25">
      <c r="A82" s="927">
        <v>2017</v>
      </c>
      <c r="B82" s="927"/>
      <c r="C82" s="287">
        <f>E90+8*E91</f>
        <v>12645.687650772987</v>
      </c>
      <c r="D82" s="303">
        <f>$C82/6+D$86/42*12*$E$91+D$86/42*20*$E$92+D$86/42*10*$E$93</f>
        <v>4147.8188656050215</v>
      </c>
      <c r="E82" s="303">
        <f>$C82/6+E$86/42*12*$E$91+E$86/42*20*$E$92+E$86/42*10*$E$93</f>
        <v>5847.9890798907363</v>
      </c>
      <c r="F82" s="303">
        <f>$C82/6+F$86/42*12*$E$91+F$86/42*20*$E$92+F$86/42*10*$E$93</f>
        <v>3807.7848227478789</v>
      </c>
      <c r="G82" s="303">
        <f>$C82/6+G$86/42*12*$E$91+G$86/42*20*$E$92+G$86/42*10*$E$93</f>
        <v>4827.8869513193076</v>
      </c>
      <c r="H82" s="303">
        <f>$C82/6+H$86/42*12*$E$91+H$86/42*20*$E$92+H$86/42*10*$E$93</f>
        <v>4487.8529084621641</v>
      </c>
      <c r="I82" s="303">
        <v>0</v>
      </c>
      <c r="J82" s="303">
        <f>$C82/6+J$86/42*12*$E$91+J$86/42*20*$E$92+J$86/42*10*$E$93</f>
        <v>5847.9890798907363</v>
      </c>
      <c r="K82" s="303">
        <v>0</v>
      </c>
      <c r="L82" s="303">
        <v>0</v>
      </c>
      <c r="M82" s="303">
        <v>0</v>
      </c>
      <c r="N82" s="303">
        <v>0</v>
      </c>
      <c r="O82" s="303">
        <f>SUM(D82:N82)</f>
        <v>28967.321707915842</v>
      </c>
    </row>
    <row r="83" spans="1:15" x14ac:dyDescent="0.25">
      <c r="A83" s="927">
        <v>2016</v>
      </c>
      <c r="B83" s="927"/>
      <c r="C83" s="287">
        <f>D90+8*D91</f>
        <v>12472.1201</v>
      </c>
      <c r="D83" s="303">
        <f>$C83/6+D$86/42*12*$D$91+D$86/42*20*$D$92+D$86/42*10*$D$93</f>
        <v>4118.8909404761907</v>
      </c>
      <c r="E83" s="303">
        <f>$C83/6+E$86/42*12*$D$91+E$86/42*20*$D$92+E$86/42*10*$D$93</f>
        <v>5819.0611547619055</v>
      </c>
      <c r="F83" s="303">
        <f>$C83/6+F$86/42*12*$D$91+F$86/42*20*$D$92+F$86/42*10*$D$93</f>
        <v>3778.8568976190481</v>
      </c>
      <c r="G83" s="303">
        <f>$C83/6+G$86/42*12*$D$91+G$86/42*20*$D$92+G$86/42*10*$D$93</f>
        <v>4798.9590261904759</v>
      </c>
      <c r="H83" s="303">
        <f>$C83/6+H$86/42*12*$D$91+H$86/42*20*$D$92+H$86/42*10*$D$93</f>
        <v>4458.9249833333333</v>
      </c>
      <c r="I83" s="303">
        <v>0</v>
      </c>
      <c r="J83" s="303">
        <f>$C83/6+J$86/42*12*$D$91+J$86/42*20*$D$92+J$86/42*10*$D$93</f>
        <v>5819.0611547619055</v>
      </c>
      <c r="K83" s="303">
        <v>0</v>
      </c>
      <c r="L83" s="303">
        <v>0</v>
      </c>
      <c r="M83" s="303">
        <v>0</v>
      </c>
      <c r="N83" s="303">
        <v>0</v>
      </c>
      <c r="O83" s="303">
        <f>SUM(D83:N83)</f>
        <v>28793.754157142856</v>
      </c>
    </row>
    <row r="84" spans="1:15" x14ac:dyDescent="0.25">
      <c r="A84" s="927">
        <v>2015</v>
      </c>
      <c r="B84" s="927"/>
      <c r="C84" s="287">
        <f>C90+8*C91</f>
        <v>12097.416000000001</v>
      </c>
      <c r="D84" s="303">
        <f>$C84/6+D$86/42*12*$C$91+D$86/42*20*$C$92+D$86/42*10*$C$93</f>
        <v>3995.1457142857139</v>
      </c>
      <c r="E84" s="303">
        <f>$C84/6+E$86/42*12*$C$91+E$86/42*20*$C$92+E$86/42*10*$C$93</f>
        <v>5644.2371428571432</v>
      </c>
      <c r="F84" s="303">
        <f>$C84/6+F$86/42*12*$C$91+F$86/42*20*$C$92+F$86/42*10*$C$93</f>
        <v>3665.3274285714288</v>
      </c>
      <c r="G84" s="303">
        <f>$C84/6+G$86/42*12*$C$91+G$86/42*20*$C$92+G$86/42*10*$C$93</f>
        <v>4654.7822857142855</v>
      </c>
      <c r="H84" s="303">
        <f>$C84/6+H$86/42*12*$C$91+H$86/42*20*$C$92+H$86/42*10*$C$93</f>
        <v>4324.9639999999999</v>
      </c>
      <c r="I84" s="303">
        <v>0</v>
      </c>
      <c r="J84" s="303">
        <f>$C84/6+J$86/42*12*$C$91+J$86/42*20*$C$92+J$86/42*10*$C$93</f>
        <v>5644.2371428571432</v>
      </c>
      <c r="K84" s="303">
        <v>0</v>
      </c>
      <c r="L84" s="303">
        <v>0</v>
      </c>
      <c r="M84" s="303">
        <v>0</v>
      </c>
      <c r="N84" s="303">
        <v>0</v>
      </c>
      <c r="O84" s="303">
        <f>SUM(D84:N84)</f>
        <v>27928.693714285713</v>
      </c>
    </row>
    <row r="85" spans="1:15" x14ac:dyDescent="0.25">
      <c r="A85" s="927">
        <v>2014</v>
      </c>
      <c r="B85" s="927"/>
      <c r="C85" s="287">
        <f>B90+8*B91</f>
        <v>12146</v>
      </c>
      <c r="D85" s="303">
        <f>$C85/6+D$86/42*12*$B$91+D$86/42*20*$B$92+D$86/42*10*$B$93</f>
        <v>4011.1904761904761</v>
      </c>
      <c r="E85" s="303">
        <f>$C85/6+E$86/42*12*$B$91+E$86/42*20*$B$92+E$86/42*10*$B$93</f>
        <v>5666.9047619047624</v>
      </c>
      <c r="F85" s="303">
        <f>$C85/6+F$86/42*12*$B$91+F$86/42*20*$B$92+F$86/42*10*$B$93</f>
        <v>3680.0476190476188</v>
      </c>
      <c r="G85" s="303">
        <f>$C85/6+G$86/42*12*$B$91+G$86/42*20*$B$92+G$86/42*10*$B$93</f>
        <v>4673.4761904761908</v>
      </c>
      <c r="H85" s="303">
        <f>$C85/6+H$86/42*12*$B$91+H$86/42*20*$B$92+H$86/42*10*$B$93</f>
        <v>4342.333333333333</v>
      </c>
      <c r="I85" s="303">
        <v>0</v>
      </c>
      <c r="J85" s="303">
        <f>$C85/6+J$86/42*12*$B$91+J$86/42*20*$B$92+J$86/42*10*$B$93</f>
        <v>5666.9047619047624</v>
      </c>
      <c r="K85" s="303">
        <v>0</v>
      </c>
      <c r="L85" s="303">
        <v>0</v>
      </c>
      <c r="M85" s="303">
        <v>0</v>
      </c>
      <c r="N85" s="303">
        <v>0</v>
      </c>
      <c r="O85" s="303">
        <f>SUM(D85:N85)</f>
        <v>28040.857142857141</v>
      </c>
    </row>
    <row r="86" spans="1:15" ht="15" customHeight="1" x14ac:dyDescent="0.25">
      <c r="A86" s="927" t="s">
        <v>266</v>
      </c>
      <c r="B86" s="927"/>
      <c r="C86" s="706">
        <v>18</v>
      </c>
      <c r="D86" s="305">
        <v>6</v>
      </c>
      <c r="E86" s="556">
        <v>11</v>
      </c>
      <c r="F86" s="556">
        <v>5</v>
      </c>
      <c r="G86" s="556">
        <v>8</v>
      </c>
      <c r="H86" s="556">
        <v>7</v>
      </c>
      <c r="I86" s="556">
        <v>0</v>
      </c>
      <c r="J86" s="556">
        <v>11</v>
      </c>
      <c r="K86" s="556">
        <v>0</v>
      </c>
      <c r="L86" s="556">
        <v>0</v>
      </c>
      <c r="M86" s="556">
        <v>0</v>
      </c>
      <c r="N86" s="556">
        <v>0</v>
      </c>
      <c r="O86" s="556">
        <f>SUM(C86:J86)</f>
        <v>66</v>
      </c>
    </row>
    <row r="87" spans="1:15" x14ac:dyDescent="0.25">
      <c r="A87" s="306"/>
      <c r="B87" s="307"/>
      <c r="C87" s="402"/>
      <c r="D87" s="402"/>
      <c r="E87" s="402"/>
      <c r="F87" s="402"/>
      <c r="G87" s="402"/>
      <c r="H87" s="402"/>
      <c r="I87" s="402"/>
      <c r="J87" s="402"/>
      <c r="K87" s="233"/>
      <c r="L87" s="233"/>
      <c r="M87" s="233"/>
      <c r="N87" s="233"/>
      <c r="O87" s="233">
        <v>42</v>
      </c>
    </row>
    <row r="88" spans="1:15" hidden="1" x14ac:dyDescent="0.25">
      <c r="A88" s="305" t="s">
        <v>343</v>
      </c>
      <c r="B88" s="556">
        <v>2014</v>
      </c>
      <c r="C88" s="556">
        <v>2015</v>
      </c>
      <c r="D88" s="556">
        <v>2016</v>
      </c>
      <c r="E88" s="556">
        <v>2017</v>
      </c>
      <c r="F88" s="403">
        <v>2018</v>
      </c>
      <c r="G88" s="233"/>
      <c r="H88" s="233"/>
      <c r="I88" s="233"/>
      <c r="J88" s="556">
        <v>2017</v>
      </c>
      <c r="K88" s="233"/>
      <c r="L88" s="233"/>
      <c r="M88" s="233"/>
      <c r="N88" s="233"/>
      <c r="O88" s="233"/>
    </row>
    <row r="89" spans="1:15" hidden="1" x14ac:dyDescent="0.25">
      <c r="A89" s="305" t="s">
        <v>262</v>
      </c>
      <c r="B89" s="305" t="s">
        <v>185</v>
      </c>
      <c r="C89" s="305">
        <v>0.996</v>
      </c>
      <c r="D89" s="404">
        <v>1.02685</v>
      </c>
      <c r="E89" s="301">
        <f>2570/2458</f>
        <v>1.0455655004068349</v>
      </c>
      <c r="F89" s="405" t="s">
        <v>344</v>
      </c>
      <c r="G89" s="233"/>
      <c r="H89" s="233"/>
      <c r="I89" s="233"/>
      <c r="J89" s="301">
        <f>2570/2458</f>
        <v>1.0455655004068349</v>
      </c>
      <c r="K89" s="233"/>
      <c r="L89" s="233"/>
      <c r="M89" s="233"/>
      <c r="N89" s="233"/>
      <c r="O89" s="233"/>
    </row>
    <row r="90" spans="1:15" hidden="1" x14ac:dyDescent="0.25">
      <c r="A90" s="305" t="s">
        <v>345</v>
      </c>
      <c r="B90" s="556">
        <v>9274</v>
      </c>
      <c r="C90" s="406">
        <f>B90*C89</f>
        <v>9236.9040000000005</v>
      </c>
      <c r="D90" s="406">
        <f>B90*D89</f>
        <v>9523.0069000000003</v>
      </c>
      <c r="E90" s="406">
        <f>B90*E89</f>
        <v>9696.5744507729869</v>
      </c>
      <c r="F90" s="405">
        <v>8500</v>
      </c>
      <c r="G90" s="233"/>
      <c r="H90" s="233"/>
      <c r="I90" s="233"/>
      <c r="J90" s="406">
        <f>G90*J89</f>
        <v>0</v>
      </c>
      <c r="K90" s="233"/>
      <c r="L90" s="233"/>
      <c r="M90" s="233"/>
      <c r="N90" s="233"/>
      <c r="O90" s="233"/>
    </row>
    <row r="91" spans="1:15" hidden="1" x14ac:dyDescent="0.25">
      <c r="A91" s="305" t="s">
        <v>346</v>
      </c>
      <c r="B91" s="556">
        <v>359</v>
      </c>
      <c r="C91" s="406">
        <f>B91*$C$89</f>
        <v>357.56400000000002</v>
      </c>
      <c r="D91" s="406">
        <f>B91*$D$89</f>
        <v>368.63915000000003</v>
      </c>
      <c r="E91" s="406">
        <f>B91*$D$89</f>
        <v>368.63915000000003</v>
      </c>
      <c r="F91" s="405">
        <v>352</v>
      </c>
      <c r="G91" s="233"/>
      <c r="H91" s="233"/>
      <c r="I91" s="233"/>
      <c r="J91" s="406">
        <f>G91*$D$89</f>
        <v>0</v>
      </c>
      <c r="K91" s="233"/>
      <c r="L91" s="233"/>
      <c r="M91" s="233"/>
      <c r="N91" s="233"/>
      <c r="O91" s="233"/>
    </row>
    <row r="92" spans="1:15" hidden="1" x14ac:dyDescent="0.25">
      <c r="A92" s="305" t="s">
        <v>347</v>
      </c>
      <c r="B92" s="556">
        <v>322</v>
      </c>
      <c r="C92" s="406">
        <f>B92*$C$89</f>
        <v>320.71199999999999</v>
      </c>
      <c r="D92" s="406">
        <f>B92*$D$89</f>
        <v>330.64570000000003</v>
      </c>
      <c r="E92" s="406">
        <f>B92*$D$89</f>
        <v>330.64570000000003</v>
      </c>
      <c r="F92" s="405">
        <v>317</v>
      </c>
      <c r="G92" s="233"/>
      <c r="H92" s="233"/>
      <c r="I92" s="233"/>
      <c r="J92" s="406">
        <f>G92*$D$89</f>
        <v>0</v>
      </c>
      <c r="K92" s="233"/>
      <c r="L92" s="233"/>
      <c r="M92" s="233"/>
      <c r="N92" s="233"/>
      <c r="O92" s="233"/>
    </row>
    <row r="93" spans="1:15" hidden="1" x14ac:dyDescent="0.25">
      <c r="A93" s="305" t="s">
        <v>348</v>
      </c>
      <c r="B93" s="556">
        <v>316</v>
      </c>
      <c r="C93" s="406">
        <f>B93*$C$89</f>
        <v>314.73599999999999</v>
      </c>
      <c r="D93" s="406">
        <f>B93*$D$89</f>
        <v>324.4846</v>
      </c>
      <c r="E93" s="406">
        <f>B93*$D$89</f>
        <v>324.4846</v>
      </c>
      <c r="F93" s="405">
        <v>308</v>
      </c>
      <c r="G93" s="233"/>
      <c r="H93" s="233"/>
      <c r="I93" s="233"/>
      <c r="J93" s="406">
        <f>G93*$D$89</f>
        <v>0</v>
      </c>
      <c r="K93" s="233"/>
      <c r="L93" s="233"/>
      <c r="M93" s="233"/>
      <c r="N93" s="233"/>
      <c r="O93" s="233"/>
    </row>
    <row r="94" spans="1:15" hidden="1" x14ac:dyDescent="0.25">
      <c r="A94" s="306"/>
      <c r="B94" s="307"/>
      <c r="C94" s="307"/>
      <c r="D94" s="307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</row>
    <row r="95" spans="1:15" hidden="1" x14ac:dyDescent="0.25">
      <c r="A95" s="407" t="s">
        <v>349</v>
      </c>
      <c r="B95" s="408"/>
      <c r="C95" s="408"/>
      <c r="D95" s="408"/>
      <c r="E95" s="409"/>
      <c r="F95" s="408"/>
      <c r="G95" s="408"/>
      <c r="H95" s="233"/>
      <c r="I95" s="233"/>
      <c r="J95" s="409"/>
      <c r="K95" s="233"/>
      <c r="L95" s="233"/>
      <c r="M95" s="233"/>
      <c r="N95" s="233"/>
      <c r="O95" s="233"/>
    </row>
    <row r="96" spans="1:15" hidden="1" x14ac:dyDescent="0.25">
      <c r="A96" s="410" t="s">
        <v>350</v>
      </c>
      <c r="B96" s="410" t="s">
        <v>73</v>
      </c>
      <c r="C96" s="410" t="s">
        <v>63</v>
      </c>
      <c r="D96" s="410" t="s">
        <v>69</v>
      </c>
      <c r="E96" s="411" t="s">
        <v>64</v>
      </c>
      <c r="F96" s="410" t="s">
        <v>78</v>
      </c>
      <c r="G96" s="410" t="s">
        <v>70</v>
      </c>
      <c r="H96" s="233"/>
      <c r="I96" s="233"/>
      <c r="J96" s="411" t="s">
        <v>64</v>
      </c>
      <c r="K96" s="233"/>
      <c r="L96" s="233"/>
      <c r="M96" s="233"/>
      <c r="N96" s="233"/>
      <c r="O96" s="233"/>
    </row>
    <row r="97" spans="1:15" hidden="1" x14ac:dyDescent="0.25">
      <c r="A97" s="408" t="s">
        <v>351</v>
      </c>
      <c r="B97" s="408" t="s">
        <v>352</v>
      </c>
      <c r="C97" s="408" t="s">
        <v>353</v>
      </c>
      <c r="D97" s="408" t="s">
        <v>354</v>
      </c>
      <c r="E97" s="409" t="s">
        <v>355</v>
      </c>
      <c r="F97" s="408" t="s">
        <v>356</v>
      </c>
      <c r="G97" s="408" t="s">
        <v>357</v>
      </c>
      <c r="H97" s="233"/>
      <c r="I97" s="233"/>
      <c r="J97" s="409" t="s">
        <v>355</v>
      </c>
      <c r="K97" s="233"/>
      <c r="L97" s="233"/>
      <c r="M97" s="233"/>
      <c r="N97" s="233"/>
      <c r="O97" s="233"/>
    </row>
    <row r="98" spans="1:15" hidden="1" x14ac:dyDescent="0.25">
      <c r="A98" s="408" t="s">
        <v>358</v>
      </c>
      <c r="B98" s="408" t="s">
        <v>359</v>
      </c>
      <c r="C98" s="408" t="s">
        <v>360</v>
      </c>
      <c r="D98" s="408" t="s">
        <v>361</v>
      </c>
      <c r="E98" s="409" t="s">
        <v>362</v>
      </c>
      <c r="F98" s="408" t="s">
        <v>363</v>
      </c>
      <c r="G98" s="408" t="s">
        <v>364</v>
      </c>
      <c r="H98" s="233"/>
      <c r="I98" s="233"/>
      <c r="J98" s="409" t="s">
        <v>362</v>
      </c>
      <c r="K98" s="233"/>
      <c r="L98" s="233"/>
      <c r="M98" s="233"/>
      <c r="N98" s="233"/>
      <c r="O98" s="233"/>
    </row>
    <row r="99" spans="1:15" hidden="1" x14ac:dyDescent="0.25">
      <c r="A99" s="408" t="s">
        <v>365</v>
      </c>
      <c r="B99" s="408" t="s">
        <v>366</v>
      </c>
      <c r="C99" s="408" t="s">
        <v>367</v>
      </c>
      <c r="D99" s="408" t="s">
        <v>368</v>
      </c>
      <c r="E99" s="409" t="s">
        <v>369</v>
      </c>
      <c r="F99" s="408" t="s">
        <v>370</v>
      </c>
      <c r="G99" s="408" t="s">
        <v>371</v>
      </c>
      <c r="H99" s="233"/>
      <c r="I99" s="233"/>
      <c r="J99" s="409" t="s">
        <v>369</v>
      </c>
      <c r="K99" s="233"/>
      <c r="L99" s="233"/>
      <c r="M99" s="233"/>
      <c r="N99" s="233"/>
      <c r="O99" s="233"/>
    </row>
    <row r="100" spans="1:15" hidden="1" x14ac:dyDescent="0.25">
      <c r="A100" s="408" t="s">
        <v>372</v>
      </c>
      <c r="B100" s="408" t="s">
        <v>373</v>
      </c>
      <c r="C100" s="408" t="s">
        <v>374</v>
      </c>
      <c r="D100" s="408" t="s">
        <v>375</v>
      </c>
      <c r="E100" s="409" t="s">
        <v>376</v>
      </c>
      <c r="F100" s="408" t="s">
        <v>377</v>
      </c>
      <c r="G100" s="408" t="s">
        <v>378</v>
      </c>
      <c r="H100" s="233"/>
      <c r="I100" s="233"/>
      <c r="J100" s="409" t="s">
        <v>376</v>
      </c>
      <c r="K100" s="233"/>
      <c r="L100" s="233"/>
      <c r="M100" s="233"/>
      <c r="N100" s="233"/>
      <c r="O100" s="233"/>
    </row>
    <row r="101" spans="1:15" hidden="1" x14ac:dyDescent="0.25">
      <c r="A101" s="408" t="s">
        <v>379</v>
      </c>
      <c r="B101" s="408" t="s">
        <v>380</v>
      </c>
      <c r="C101" s="408" t="s">
        <v>381</v>
      </c>
      <c r="D101" s="408" t="s">
        <v>382</v>
      </c>
      <c r="E101" s="409" t="s">
        <v>383</v>
      </c>
      <c r="F101" s="408" t="s">
        <v>384</v>
      </c>
      <c r="G101" s="408" t="s">
        <v>385</v>
      </c>
      <c r="H101" s="233"/>
      <c r="I101" s="233"/>
      <c r="J101" s="409" t="s">
        <v>383</v>
      </c>
      <c r="K101" s="233"/>
      <c r="L101" s="233"/>
      <c r="M101" s="233"/>
      <c r="N101" s="233"/>
      <c r="O101" s="233"/>
    </row>
    <row r="102" spans="1:15" hidden="1" x14ac:dyDescent="0.25">
      <c r="A102" s="408" t="s">
        <v>386</v>
      </c>
      <c r="B102" s="408" t="s">
        <v>387</v>
      </c>
      <c r="C102" s="408" t="s">
        <v>388</v>
      </c>
      <c r="D102" s="408"/>
      <c r="E102" s="409" t="s">
        <v>389</v>
      </c>
      <c r="F102" s="408" t="s">
        <v>390</v>
      </c>
      <c r="G102" s="408"/>
      <c r="H102" s="233"/>
      <c r="I102" s="233"/>
      <c r="J102" s="409" t="s">
        <v>389</v>
      </c>
      <c r="K102" s="233"/>
      <c r="L102" s="233"/>
      <c r="M102" s="233"/>
      <c r="N102" s="233"/>
      <c r="O102" s="233"/>
    </row>
    <row r="103" spans="1:15" hidden="1" x14ac:dyDescent="0.25">
      <c r="A103" s="408" t="s">
        <v>391</v>
      </c>
      <c r="B103" s="408"/>
      <c r="C103" s="408" t="s">
        <v>392</v>
      </c>
      <c r="D103" s="408"/>
      <c r="E103" s="409" t="s">
        <v>393</v>
      </c>
      <c r="F103" s="408" t="s">
        <v>394</v>
      </c>
      <c r="G103" s="408"/>
      <c r="H103" s="233"/>
      <c r="I103" s="233"/>
      <c r="J103" s="409" t="s">
        <v>393</v>
      </c>
      <c r="K103" s="233"/>
      <c r="L103" s="233"/>
      <c r="M103" s="233"/>
      <c r="N103" s="233"/>
      <c r="O103" s="233"/>
    </row>
    <row r="104" spans="1:15" hidden="1" x14ac:dyDescent="0.25">
      <c r="A104" s="408" t="s">
        <v>395</v>
      </c>
      <c r="B104" s="408"/>
      <c r="C104" s="408" t="s">
        <v>396</v>
      </c>
      <c r="D104" s="408"/>
      <c r="E104" s="412" t="s">
        <v>397</v>
      </c>
      <c r="F104" s="408"/>
      <c r="G104" s="408"/>
      <c r="H104" s="233"/>
      <c r="I104" s="233"/>
      <c r="J104" s="412" t="s">
        <v>397</v>
      </c>
      <c r="K104" s="233"/>
      <c r="L104" s="233"/>
      <c r="M104" s="233"/>
      <c r="N104" s="233"/>
      <c r="O104" s="233"/>
    </row>
    <row r="105" spans="1:15" hidden="1" x14ac:dyDescent="0.25">
      <c r="A105" s="408" t="s">
        <v>398</v>
      </c>
      <c r="B105" s="408"/>
      <c r="C105" s="408" t="s">
        <v>399</v>
      </c>
      <c r="D105" s="408"/>
      <c r="E105" s="409"/>
      <c r="F105" s="408"/>
      <c r="G105" s="408"/>
      <c r="H105" s="233"/>
      <c r="I105" s="233"/>
      <c r="J105" s="409"/>
      <c r="K105" s="233"/>
      <c r="L105" s="233"/>
      <c r="M105" s="233"/>
      <c r="N105" s="233"/>
      <c r="O105" s="233"/>
    </row>
    <row r="106" spans="1:15" hidden="1" x14ac:dyDescent="0.25">
      <c r="A106" s="408" t="s">
        <v>400</v>
      </c>
      <c r="B106" s="408"/>
      <c r="C106" s="408" t="s">
        <v>401</v>
      </c>
      <c r="D106" s="408"/>
      <c r="E106" s="409"/>
      <c r="F106" s="408"/>
      <c r="G106" s="408"/>
      <c r="H106" s="233"/>
      <c r="I106" s="233"/>
      <c r="J106" s="409"/>
      <c r="K106" s="233"/>
      <c r="L106" s="233"/>
      <c r="M106" s="233"/>
      <c r="N106" s="233"/>
      <c r="O106" s="233"/>
    </row>
    <row r="107" spans="1:15" hidden="1" x14ac:dyDescent="0.25">
      <c r="A107" s="408" t="s">
        <v>402</v>
      </c>
      <c r="B107" s="408"/>
      <c r="C107" s="408" t="s">
        <v>403</v>
      </c>
      <c r="D107" s="408"/>
      <c r="E107" s="409"/>
      <c r="F107" s="408"/>
      <c r="G107" s="408"/>
      <c r="H107" s="233"/>
      <c r="I107" s="233"/>
      <c r="J107" s="409"/>
      <c r="K107" s="233"/>
      <c r="L107" s="233"/>
      <c r="M107" s="233"/>
      <c r="N107" s="233"/>
      <c r="O107" s="233"/>
    </row>
    <row r="108" spans="1:15" hidden="1" x14ac:dyDescent="0.25">
      <c r="A108" s="408" t="s">
        <v>404</v>
      </c>
      <c r="B108" s="408"/>
      <c r="C108" s="408"/>
      <c r="D108" s="408"/>
      <c r="E108" s="409"/>
      <c r="F108" s="408"/>
      <c r="G108" s="408"/>
      <c r="H108" s="233"/>
      <c r="I108" s="233"/>
      <c r="J108" s="409"/>
      <c r="K108" s="233"/>
      <c r="L108" s="233"/>
      <c r="M108" s="233"/>
      <c r="N108" s="233"/>
      <c r="O108" s="233"/>
    </row>
    <row r="109" spans="1:15" hidden="1" x14ac:dyDescent="0.25">
      <c r="A109" s="408" t="s">
        <v>405</v>
      </c>
      <c r="B109" s="408"/>
      <c r="C109" s="408"/>
      <c r="D109" s="408"/>
      <c r="E109" s="409"/>
      <c r="F109" s="408"/>
      <c r="G109" s="408"/>
      <c r="H109" s="233"/>
      <c r="I109" s="233"/>
      <c r="J109" s="409"/>
      <c r="K109" s="233"/>
      <c r="L109" s="233"/>
      <c r="M109" s="233"/>
      <c r="N109" s="233"/>
      <c r="O109" s="233"/>
    </row>
    <row r="110" spans="1:15" hidden="1" x14ac:dyDescent="0.25">
      <c r="A110" s="408" t="s">
        <v>406</v>
      </c>
      <c r="B110" s="408"/>
      <c r="C110" s="408"/>
      <c r="D110" s="408"/>
      <c r="E110" s="409"/>
      <c r="F110" s="408"/>
      <c r="G110" s="408"/>
      <c r="H110" s="233"/>
      <c r="I110" s="233"/>
      <c r="J110" s="409"/>
      <c r="K110" s="233"/>
      <c r="L110" s="233"/>
      <c r="M110" s="233"/>
      <c r="N110" s="233"/>
      <c r="O110" s="233"/>
    </row>
    <row r="111" spans="1:15" hidden="1" x14ac:dyDescent="0.25">
      <c r="A111" s="408" t="s">
        <v>407</v>
      </c>
      <c r="B111" s="408"/>
      <c r="C111" s="408"/>
      <c r="D111" s="408"/>
      <c r="E111" s="409"/>
      <c r="F111" s="408"/>
      <c r="G111" s="408"/>
      <c r="H111" s="233"/>
      <c r="I111" s="233"/>
      <c r="J111" s="409"/>
      <c r="K111" s="233"/>
      <c r="L111" s="233"/>
      <c r="M111" s="233"/>
      <c r="N111" s="233"/>
      <c r="O111" s="233"/>
    </row>
    <row r="112" spans="1:15" hidden="1" x14ac:dyDescent="0.25">
      <c r="A112" s="408" t="s">
        <v>408</v>
      </c>
      <c r="B112" s="408"/>
      <c r="C112" s="408"/>
      <c r="D112" s="408"/>
      <c r="E112" s="409"/>
      <c r="F112" s="408"/>
      <c r="G112" s="408"/>
      <c r="H112" s="233"/>
      <c r="I112" s="233"/>
      <c r="J112" s="409"/>
      <c r="K112" s="233"/>
      <c r="L112" s="233"/>
      <c r="M112" s="233"/>
      <c r="N112" s="233"/>
      <c r="O112" s="233"/>
    </row>
    <row r="113" spans="1:15" hidden="1" x14ac:dyDescent="0.25">
      <c r="A113" s="408" t="s">
        <v>409</v>
      </c>
      <c r="B113" s="408"/>
      <c r="C113" s="408"/>
      <c r="D113" s="408"/>
      <c r="E113" s="409"/>
      <c r="F113" s="408"/>
      <c r="G113" s="408"/>
      <c r="H113" s="233"/>
      <c r="I113" s="233"/>
      <c r="J113" s="409"/>
      <c r="K113" s="233"/>
      <c r="L113" s="233"/>
      <c r="M113" s="233"/>
      <c r="N113" s="233"/>
      <c r="O113" s="233"/>
    </row>
    <row r="114" spans="1:15" hidden="1" x14ac:dyDescent="0.25">
      <c r="A114" s="408" t="s">
        <v>410</v>
      </c>
      <c r="B114" s="408"/>
      <c r="C114" s="408"/>
      <c r="D114" s="408"/>
      <c r="E114" s="409"/>
      <c r="F114" s="408"/>
      <c r="G114" s="408"/>
      <c r="H114" s="233"/>
      <c r="I114" s="233"/>
      <c r="J114" s="409"/>
      <c r="K114" s="233"/>
      <c r="L114" s="233"/>
      <c r="M114" s="233"/>
      <c r="N114" s="233"/>
      <c r="O114" s="233"/>
    </row>
    <row r="115" spans="1:15" hidden="1" x14ac:dyDescent="0.25">
      <c r="A115" s="408">
        <v>18</v>
      </c>
      <c r="B115" s="408">
        <v>6</v>
      </c>
      <c r="C115" s="408">
        <v>11</v>
      </c>
      <c r="D115" s="408">
        <v>5</v>
      </c>
      <c r="E115" s="409">
        <v>8</v>
      </c>
      <c r="F115" s="408">
        <v>7</v>
      </c>
      <c r="G115" s="408">
        <v>5</v>
      </c>
      <c r="H115" s="233">
        <f>SUM(A115:G115)</f>
        <v>60</v>
      </c>
      <c r="I115" s="233"/>
      <c r="J115" s="409">
        <v>8</v>
      </c>
      <c r="K115" s="233"/>
      <c r="L115" s="233"/>
      <c r="M115" s="233"/>
      <c r="N115" s="233"/>
      <c r="O115" s="233"/>
    </row>
    <row r="116" spans="1:15" hidden="1" x14ac:dyDescent="0.25">
      <c r="A116" s="306"/>
      <c r="B116" s="413"/>
      <c r="C116" s="413"/>
      <c r="D116" s="413"/>
      <c r="E116" s="414"/>
      <c r="F116" s="414"/>
      <c r="G116" s="414"/>
      <c r="H116" s="233"/>
      <c r="I116" s="233"/>
      <c r="J116" s="414"/>
      <c r="K116" s="233"/>
      <c r="L116" s="415"/>
      <c r="M116" s="233"/>
      <c r="N116" s="233"/>
      <c r="O116" s="233"/>
    </row>
    <row r="117" spans="1:15" x14ac:dyDescent="0.25">
      <c r="A117" s="277" t="s">
        <v>293</v>
      </c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</row>
    <row r="118" spans="1:15" x14ac:dyDescent="0.25">
      <c r="A118" s="416"/>
      <c r="B118" s="416"/>
      <c r="C118" s="416"/>
      <c r="D118" s="416"/>
      <c r="E118" s="416"/>
      <c r="F118" s="417"/>
      <c r="G118" s="416"/>
      <c r="H118" s="416"/>
      <c r="I118" s="416"/>
      <c r="J118" s="416"/>
      <c r="K118" s="416"/>
      <c r="L118" s="416"/>
      <c r="M118" s="416"/>
      <c r="N118" s="416"/>
      <c r="O118" s="418"/>
    </row>
    <row r="119" spans="1:15" ht="51.75" x14ac:dyDescent="0.25">
      <c r="A119" s="312" t="s">
        <v>312</v>
      </c>
      <c r="B119" s="312" t="s">
        <v>262</v>
      </c>
      <c r="C119" s="312" t="s">
        <v>263</v>
      </c>
      <c r="D119" s="299" t="s">
        <v>264</v>
      </c>
      <c r="E119" s="299" t="s">
        <v>63</v>
      </c>
      <c r="F119" s="299" t="s">
        <v>69</v>
      </c>
      <c r="G119" s="299" t="s">
        <v>64</v>
      </c>
      <c r="H119" s="300" t="s">
        <v>78</v>
      </c>
      <c r="I119" s="299" t="s">
        <v>60</v>
      </c>
      <c r="J119" s="299" t="s">
        <v>63</v>
      </c>
      <c r="K119" s="299" t="s">
        <v>75</v>
      </c>
      <c r="L119" s="299" t="s">
        <v>72</v>
      </c>
      <c r="M119" s="299" t="s">
        <v>74</v>
      </c>
      <c r="N119" s="299" t="s">
        <v>62</v>
      </c>
    </row>
    <row r="120" spans="1:15" x14ac:dyDescent="0.25">
      <c r="A120" s="419">
        <v>2019</v>
      </c>
      <c r="B120" s="420">
        <f>C60</f>
        <v>1.0440896997339415</v>
      </c>
      <c r="C120" s="421">
        <f>C121*B120</f>
        <v>1232.0258456860511</v>
      </c>
      <c r="D120" s="303">
        <v>0</v>
      </c>
      <c r="E120" s="303">
        <v>0</v>
      </c>
      <c r="F120" s="303">
        <v>0</v>
      </c>
      <c r="G120" s="303">
        <v>0</v>
      </c>
      <c r="H120" s="303">
        <v>0</v>
      </c>
      <c r="I120" s="303">
        <v>0</v>
      </c>
      <c r="J120" s="303">
        <v>0</v>
      </c>
      <c r="K120" s="303">
        <v>0</v>
      </c>
      <c r="L120" s="303">
        <v>0</v>
      </c>
      <c r="M120" s="303">
        <v>0</v>
      </c>
      <c r="N120" s="303">
        <v>0</v>
      </c>
    </row>
    <row r="121" spans="1:15" s="328" customFormat="1" x14ac:dyDescent="0.25">
      <c r="A121" s="419">
        <v>2018</v>
      </c>
      <c r="B121" s="420"/>
      <c r="C121" s="303">
        <v>1180</v>
      </c>
      <c r="D121" s="303">
        <v>0</v>
      </c>
      <c r="E121" s="303">
        <v>0</v>
      </c>
      <c r="F121" s="303">
        <v>0</v>
      </c>
      <c r="G121" s="303">
        <v>0</v>
      </c>
      <c r="H121" s="303">
        <v>0</v>
      </c>
      <c r="I121" s="303">
        <v>0</v>
      </c>
      <c r="J121" s="303">
        <v>0</v>
      </c>
      <c r="K121" s="303">
        <v>0</v>
      </c>
      <c r="L121" s="303">
        <v>0</v>
      </c>
      <c r="M121" s="303">
        <v>0</v>
      </c>
      <c r="N121" s="303">
        <v>0</v>
      </c>
    </row>
    <row r="122" spans="1:15" s="328" customFormat="1" x14ac:dyDescent="0.25">
      <c r="A122" s="419">
        <v>2017</v>
      </c>
      <c r="B122" s="420">
        <f>2570/2458</f>
        <v>1.0455655004068349</v>
      </c>
      <c r="C122" s="303">
        <f>C125*B122</f>
        <v>1182.5345809601304</v>
      </c>
      <c r="D122" s="303">
        <f>$C122/5*2</f>
        <v>473.01383238405214</v>
      </c>
      <c r="E122" s="303">
        <f>$C122/5*2</f>
        <v>473.01383238405214</v>
      </c>
      <c r="F122" s="303">
        <v>0</v>
      </c>
      <c r="G122" s="303">
        <f>$C122/5*2</f>
        <v>473.01383238405214</v>
      </c>
      <c r="H122" s="303">
        <f>$C122/5*2</f>
        <v>473.01383238405214</v>
      </c>
      <c r="I122" s="303">
        <v>0</v>
      </c>
      <c r="J122" s="303">
        <f>$C122/5*2</f>
        <v>473.01383238405214</v>
      </c>
      <c r="K122" s="303">
        <f>$C122/5*2</f>
        <v>473.01383238405214</v>
      </c>
      <c r="L122" s="303">
        <v>0</v>
      </c>
      <c r="M122" s="303">
        <v>0</v>
      </c>
      <c r="N122" s="303">
        <v>0</v>
      </c>
    </row>
    <row r="123" spans="1:15" s="328" customFormat="1" x14ac:dyDescent="0.25">
      <c r="A123" s="419">
        <v>2016</v>
      </c>
      <c r="B123" s="420">
        <v>1.02685</v>
      </c>
      <c r="C123" s="303">
        <f>C125*B123</f>
        <v>1161.36735</v>
      </c>
      <c r="D123" s="303">
        <f>$C123/7*2</f>
        <v>331.81924285714285</v>
      </c>
      <c r="E123" s="303">
        <f>$C123/7*2</f>
        <v>331.81924285714285</v>
      </c>
      <c r="F123" s="303">
        <v>0</v>
      </c>
      <c r="G123" s="303">
        <f>$C123/7*2</f>
        <v>331.81924285714285</v>
      </c>
      <c r="H123" s="303">
        <f>$C123/7*2</f>
        <v>331.81924285714285</v>
      </c>
      <c r="I123" s="303">
        <v>0</v>
      </c>
      <c r="J123" s="303">
        <f>$C123/7*2</f>
        <v>331.81924285714285</v>
      </c>
      <c r="K123" s="303">
        <f>$C123/7*2</f>
        <v>331.81924285714285</v>
      </c>
      <c r="L123" s="303">
        <f>$C123/7*2</f>
        <v>331.81924285714285</v>
      </c>
      <c r="M123" s="303">
        <f>$C123/7*2</f>
        <v>331.81924285714285</v>
      </c>
      <c r="N123" s="303">
        <v>0</v>
      </c>
      <c r="O123" s="422" t="s">
        <v>411</v>
      </c>
    </row>
    <row r="124" spans="1:15" s="328" customFormat="1" x14ac:dyDescent="0.25">
      <c r="A124" s="419">
        <v>2015</v>
      </c>
      <c r="B124" s="423">
        <v>0.996</v>
      </c>
      <c r="C124" s="303">
        <f>C125*B124</f>
        <v>1126.4759999999999</v>
      </c>
      <c r="D124" s="303">
        <f>$C124/7</f>
        <v>160.92514285714284</v>
      </c>
      <c r="E124" s="303">
        <f>$C124/7</f>
        <v>160.92514285714284</v>
      </c>
      <c r="F124" s="303">
        <v>0</v>
      </c>
      <c r="G124" s="303">
        <f>$C124/7</f>
        <v>160.92514285714284</v>
      </c>
      <c r="H124" s="303">
        <f>$C124/7</f>
        <v>160.92514285714284</v>
      </c>
      <c r="I124" s="303">
        <v>0</v>
      </c>
      <c r="J124" s="303">
        <f>$C124/7</f>
        <v>160.92514285714284</v>
      </c>
      <c r="K124" s="303">
        <f t="shared" ref="K124:M125" si="21">$C124/7</f>
        <v>160.92514285714284</v>
      </c>
      <c r="L124" s="303">
        <f t="shared" si="21"/>
        <v>160.92514285714284</v>
      </c>
      <c r="M124" s="303">
        <f t="shared" si="21"/>
        <v>160.92514285714284</v>
      </c>
      <c r="N124" s="303">
        <v>0</v>
      </c>
    </row>
    <row r="125" spans="1:15" s="328" customFormat="1" x14ac:dyDescent="0.25">
      <c r="A125" s="419">
        <v>2014</v>
      </c>
      <c r="B125" s="424" t="s">
        <v>185</v>
      </c>
      <c r="C125" s="303">
        <v>1131</v>
      </c>
      <c r="D125" s="303">
        <f>$C125/7</f>
        <v>161.57142857142858</v>
      </c>
      <c r="E125" s="303">
        <f>$C125/7</f>
        <v>161.57142857142858</v>
      </c>
      <c r="F125" s="303">
        <v>0</v>
      </c>
      <c r="G125" s="303">
        <f>$C125/7</f>
        <v>161.57142857142858</v>
      </c>
      <c r="H125" s="303">
        <f>$C125/7</f>
        <v>161.57142857142858</v>
      </c>
      <c r="I125" s="303">
        <v>0</v>
      </c>
      <c r="J125" s="303">
        <f>$C125/7</f>
        <v>161.57142857142858</v>
      </c>
      <c r="K125" s="303">
        <f t="shared" si="21"/>
        <v>161.57142857142858</v>
      </c>
      <c r="L125" s="303">
        <f t="shared" si="21"/>
        <v>161.57142857142858</v>
      </c>
      <c r="M125" s="303">
        <f t="shared" si="21"/>
        <v>161.57142857142858</v>
      </c>
      <c r="N125" s="303">
        <v>0</v>
      </c>
    </row>
    <row r="126" spans="1:15" x14ac:dyDescent="0.25">
      <c r="A126" s="306"/>
      <c r="B126" s="323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</row>
    <row r="127" spans="1:15" x14ac:dyDescent="0.25">
      <c r="A127" s="426" t="s">
        <v>412</v>
      </c>
      <c r="B127" s="427"/>
      <c r="C127" s="427"/>
      <c r="D127" s="428"/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</row>
    <row r="128" spans="1:15" ht="51.75" x14ac:dyDescent="0.25">
      <c r="A128" s="312" t="s">
        <v>312</v>
      </c>
      <c r="B128" s="312" t="s">
        <v>262</v>
      </c>
      <c r="C128" s="312" t="s">
        <v>263</v>
      </c>
      <c r="D128" s="299" t="s">
        <v>264</v>
      </c>
      <c r="E128" s="299" t="s">
        <v>63</v>
      </c>
      <c r="F128" s="299" t="s">
        <v>69</v>
      </c>
      <c r="G128" s="299" t="s">
        <v>64</v>
      </c>
      <c r="H128" s="300" t="s">
        <v>78</v>
      </c>
      <c r="I128" s="299" t="s">
        <v>60</v>
      </c>
      <c r="J128" s="299" t="s">
        <v>63</v>
      </c>
      <c r="K128" s="299" t="s">
        <v>75</v>
      </c>
      <c r="L128" s="299" t="s">
        <v>72</v>
      </c>
      <c r="M128" s="299" t="s">
        <v>74</v>
      </c>
      <c r="N128" s="299" t="s">
        <v>62</v>
      </c>
      <c r="O128" s="299" t="s">
        <v>68</v>
      </c>
    </row>
    <row r="129" spans="1:15" x14ac:dyDescent="0.25">
      <c r="A129" s="698">
        <v>2017</v>
      </c>
      <c r="B129" s="301">
        <f>2570/2458</f>
        <v>1.0455655004068349</v>
      </c>
      <c r="C129" s="429">
        <f>C132*B129</f>
        <v>1182.5345809601304</v>
      </c>
      <c r="D129" s="429">
        <v>0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0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</row>
    <row r="130" spans="1:15" x14ac:dyDescent="0.25">
      <c r="A130" s="698">
        <v>2016</v>
      </c>
      <c r="B130" s="301">
        <v>1.02685</v>
      </c>
      <c r="C130" s="429">
        <f>C132*B130</f>
        <v>1161.36735</v>
      </c>
      <c r="D130" s="429">
        <v>0</v>
      </c>
      <c r="E130" s="429">
        <v>0</v>
      </c>
      <c r="F130" s="429">
        <v>0</v>
      </c>
      <c r="G130" s="429">
        <v>0</v>
      </c>
      <c r="H130" s="429">
        <v>0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</row>
    <row r="131" spans="1:15" x14ac:dyDescent="0.25">
      <c r="A131" s="698">
        <v>2015</v>
      </c>
      <c r="B131" s="305">
        <v>0.996</v>
      </c>
      <c r="C131" s="429">
        <f>C132*B131</f>
        <v>1126.4759999999999</v>
      </c>
      <c r="D131" s="429">
        <v>0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/>
    </row>
    <row r="132" spans="1:15" x14ac:dyDescent="0.25">
      <c r="A132" s="698">
        <v>2014</v>
      </c>
      <c r="B132" s="706" t="s">
        <v>185</v>
      </c>
      <c r="C132" s="429">
        <v>1131</v>
      </c>
      <c r="D132" s="429">
        <v>0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/>
    </row>
    <row r="133" spans="1:15" x14ac:dyDescent="0.25">
      <c r="A133" s="295" t="s">
        <v>413</v>
      </c>
      <c r="B133" s="295"/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</row>
    <row r="134" spans="1:15" ht="26.25" customHeight="1" x14ac:dyDescent="0.25">
      <c r="A134" s="312" t="s">
        <v>312</v>
      </c>
      <c r="B134" s="928" t="s">
        <v>119</v>
      </c>
      <c r="C134" s="928"/>
      <c r="D134" s="299" t="s">
        <v>264</v>
      </c>
      <c r="E134" s="299" t="s">
        <v>63</v>
      </c>
      <c r="F134" s="299" t="s">
        <v>69</v>
      </c>
      <c r="G134" s="299" t="s">
        <v>64</v>
      </c>
      <c r="H134" s="300" t="s">
        <v>78</v>
      </c>
      <c r="I134" s="299" t="s">
        <v>265</v>
      </c>
      <c r="J134" s="299" t="s">
        <v>63</v>
      </c>
      <c r="K134" s="233"/>
      <c r="L134" s="233"/>
      <c r="M134" s="233"/>
      <c r="N134" s="233"/>
      <c r="O134" s="233"/>
    </row>
    <row r="135" spans="1:15" x14ac:dyDescent="0.25">
      <c r="A135" s="698">
        <v>2017</v>
      </c>
      <c r="B135" s="925">
        <v>0</v>
      </c>
      <c r="C135" s="925">
        <v>0</v>
      </c>
      <c r="D135" s="429">
        <f t="shared" ref="D135:D137" si="22">$C135/6</f>
        <v>0</v>
      </c>
      <c r="E135" s="429">
        <f t="shared" ref="E135:J137" si="23">$C135/6</f>
        <v>0</v>
      </c>
      <c r="F135" s="429">
        <f t="shared" si="23"/>
        <v>0</v>
      </c>
      <c r="G135" s="429">
        <f t="shared" si="23"/>
        <v>0</v>
      </c>
      <c r="H135" s="429">
        <f t="shared" si="23"/>
        <v>0</v>
      </c>
      <c r="I135" s="429">
        <f t="shared" si="23"/>
        <v>0</v>
      </c>
      <c r="J135" s="429">
        <f t="shared" si="23"/>
        <v>0</v>
      </c>
      <c r="K135" s="233"/>
      <c r="L135" s="233"/>
      <c r="M135" s="233"/>
      <c r="N135" s="233"/>
      <c r="O135" s="233"/>
    </row>
    <row r="136" spans="1:15" x14ac:dyDescent="0.25">
      <c r="A136" s="698">
        <v>2016</v>
      </c>
      <c r="B136" s="925">
        <v>0</v>
      </c>
      <c r="C136" s="925">
        <v>0</v>
      </c>
      <c r="D136" s="429">
        <f t="shared" si="22"/>
        <v>0</v>
      </c>
      <c r="E136" s="429">
        <f t="shared" si="23"/>
        <v>0</v>
      </c>
      <c r="F136" s="429">
        <f t="shared" si="23"/>
        <v>0</v>
      </c>
      <c r="G136" s="429">
        <f t="shared" si="23"/>
        <v>0</v>
      </c>
      <c r="H136" s="429">
        <f t="shared" si="23"/>
        <v>0</v>
      </c>
      <c r="I136" s="429">
        <f t="shared" si="23"/>
        <v>0</v>
      </c>
      <c r="J136" s="429">
        <f t="shared" si="23"/>
        <v>0</v>
      </c>
      <c r="K136" s="233"/>
      <c r="L136" s="233"/>
      <c r="M136" s="233"/>
      <c r="N136" s="233"/>
      <c r="O136" s="233"/>
    </row>
    <row r="137" spans="1:15" x14ac:dyDescent="0.25">
      <c r="A137" s="698">
        <v>2015</v>
      </c>
      <c r="B137" s="925">
        <v>0</v>
      </c>
      <c r="C137" s="925">
        <v>0</v>
      </c>
      <c r="D137" s="429">
        <f t="shared" si="22"/>
        <v>0</v>
      </c>
      <c r="E137" s="429">
        <f t="shared" si="23"/>
        <v>0</v>
      </c>
      <c r="F137" s="429">
        <f t="shared" si="23"/>
        <v>0</v>
      </c>
      <c r="G137" s="429">
        <f t="shared" si="23"/>
        <v>0</v>
      </c>
      <c r="H137" s="429">
        <f t="shared" si="23"/>
        <v>0</v>
      </c>
      <c r="I137" s="429">
        <f t="shared" si="23"/>
        <v>0</v>
      </c>
      <c r="J137" s="429">
        <f t="shared" si="23"/>
        <v>0</v>
      </c>
      <c r="K137" s="233"/>
      <c r="L137" s="233"/>
      <c r="M137" s="233"/>
      <c r="N137" s="233"/>
      <c r="O137" s="233"/>
    </row>
    <row r="138" spans="1:15" x14ac:dyDescent="0.25">
      <c r="A138" s="698">
        <v>2014</v>
      </c>
      <c r="B138" s="925">
        <v>500</v>
      </c>
      <c r="C138" s="925">
        <v>500</v>
      </c>
      <c r="D138" s="429">
        <f t="shared" ref="D138:J138" si="24">$B$138/6</f>
        <v>83.333333333333329</v>
      </c>
      <c r="E138" s="429">
        <f t="shared" si="24"/>
        <v>83.333333333333329</v>
      </c>
      <c r="F138" s="429">
        <f t="shared" si="24"/>
        <v>83.333333333333329</v>
      </c>
      <c r="G138" s="429">
        <f t="shared" si="24"/>
        <v>83.333333333333329</v>
      </c>
      <c r="H138" s="429">
        <f t="shared" si="24"/>
        <v>83.333333333333329</v>
      </c>
      <c r="I138" s="429">
        <f t="shared" si="24"/>
        <v>83.333333333333329</v>
      </c>
      <c r="J138" s="429">
        <f t="shared" si="24"/>
        <v>83.333333333333329</v>
      </c>
      <c r="K138" s="233"/>
      <c r="L138" s="233"/>
      <c r="M138" s="233"/>
      <c r="N138" s="233"/>
      <c r="O138" s="233"/>
    </row>
  </sheetData>
  <mergeCells count="38">
    <mergeCell ref="A1:A3"/>
    <mergeCell ref="B1:D1"/>
    <mergeCell ref="L1:N1"/>
    <mergeCell ref="B2:D2"/>
    <mergeCell ref="A55:B55"/>
    <mergeCell ref="A56:B56"/>
    <mergeCell ref="A57:B57"/>
    <mergeCell ref="A58:B58"/>
    <mergeCell ref="A59:B59"/>
    <mergeCell ref="A60:B60"/>
    <mergeCell ref="A62:C62"/>
    <mergeCell ref="A64:C64"/>
    <mergeCell ref="A69:C69"/>
    <mergeCell ref="A70:C70"/>
    <mergeCell ref="A71:C71"/>
    <mergeCell ref="A72:C72"/>
    <mergeCell ref="A76:B76"/>
    <mergeCell ref="A82:B82"/>
    <mergeCell ref="A83:B83"/>
    <mergeCell ref="B136:C136"/>
    <mergeCell ref="B137:C137"/>
    <mergeCell ref="B138:C138"/>
    <mergeCell ref="A80:B80"/>
    <mergeCell ref="A84:B84"/>
    <mergeCell ref="A85:B85"/>
    <mergeCell ref="A86:B86"/>
    <mergeCell ref="B134:C134"/>
    <mergeCell ref="B135:C135"/>
    <mergeCell ref="F60:G60"/>
    <mergeCell ref="Q1:S1"/>
    <mergeCell ref="F55:G55"/>
    <mergeCell ref="F56:G56"/>
    <mergeCell ref="F57:G57"/>
    <mergeCell ref="F58:G58"/>
    <mergeCell ref="F59:G59"/>
    <mergeCell ref="F1:F3"/>
    <mergeCell ref="G1:I1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1"/>
  <sheetViews>
    <sheetView workbookViewId="0">
      <selection activeCell="J16" sqref="J16"/>
    </sheetView>
  </sheetViews>
  <sheetFormatPr baseColWidth="10" defaultColWidth="9.140625" defaultRowHeight="15" x14ac:dyDescent="0.25"/>
  <cols>
    <col min="1" max="1" width="30.140625" style="188" customWidth="1"/>
    <col min="2" max="2" width="10.42578125" style="188" customWidth="1"/>
    <col min="3" max="3" width="20" style="188" customWidth="1"/>
    <col min="4" max="4" width="16.5703125" style="188" customWidth="1"/>
    <col min="5" max="5" width="11.140625" style="188" customWidth="1"/>
    <col min="6" max="7" width="9.140625" style="188"/>
    <col min="8" max="8" width="10.140625" style="188" customWidth="1"/>
    <col min="9" max="16384" width="9.140625" style="188"/>
  </cols>
  <sheetData>
    <row r="1" spans="1:7" ht="15" customHeight="1" x14ac:dyDescent="0.25">
      <c r="A1" s="857" t="s">
        <v>234</v>
      </c>
      <c r="B1" s="932" t="s">
        <v>414</v>
      </c>
      <c r="C1" s="932"/>
      <c r="D1" s="932"/>
      <c r="E1" s="699"/>
      <c r="F1" s="293"/>
      <c r="G1" s="699"/>
    </row>
    <row r="2" spans="1:7" x14ac:dyDescent="0.25">
      <c r="A2" s="857"/>
      <c r="B2" s="933">
        <v>2021</v>
      </c>
      <c r="C2" s="933"/>
      <c r="D2" s="933"/>
      <c r="F2" s="781"/>
    </row>
    <row r="3" spans="1:7" x14ac:dyDescent="0.25">
      <c r="A3" s="857"/>
      <c r="B3" s="430" t="s">
        <v>298</v>
      </c>
      <c r="C3" s="431" t="s">
        <v>299</v>
      </c>
      <c r="D3" s="432" t="s">
        <v>300</v>
      </c>
      <c r="F3" s="688"/>
    </row>
    <row r="4" spans="1:7" x14ac:dyDescent="0.25">
      <c r="A4" s="241" t="s">
        <v>60</v>
      </c>
      <c r="B4" s="370">
        <f t="shared" ref="B4:B25" si="0">C4+D4</f>
        <v>2870.9177448475398</v>
      </c>
      <c r="C4" s="371">
        <f>'ANNEXE 1 Grille'!$B2*($C$30-$C$25)</f>
        <v>2297.8335813870963</v>
      </c>
      <c r="D4" s="372">
        <f>IF(C4&lt;&gt;0,E$26/C$29,C4)</f>
        <v>573.08416346044339</v>
      </c>
      <c r="E4" s="237"/>
      <c r="F4" s="688"/>
    </row>
    <row r="5" spans="1:7" x14ac:dyDescent="0.25">
      <c r="A5" s="241" t="s">
        <v>61</v>
      </c>
      <c r="B5" s="370">
        <f t="shared" si="0"/>
        <v>0</v>
      </c>
      <c r="C5" s="371"/>
      <c r="D5" s="372">
        <f t="shared" ref="D5:D23" si="1">IF(C5&lt;&gt;0,E$26/C$29,C5)</f>
        <v>0</v>
      </c>
      <c r="E5" s="237"/>
      <c r="F5" s="688"/>
    </row>
    <row r="6" spans="1:7" x14ac:dyDescent="0.25">
      <c r="A6" s="241" t="s">
        <v>62</v>
      </c>
      <c r="B6" s="370">
        <f t="shared" si="0"/>
        <v>1305.8015415606155</v>
      </c>
      <c r="C6" s="371">
        <f>'ANNEXE 1 Grille'!$B4*($C$30-$C$25)</f>
        <v>732.71737810017203</v>
      </c>
      <c r="D6" s="372">
        <f t="shared" si="1"/>
        <v>573.08416346044339</v>
      </c>
      <c r="E6" s="237"/>
      <c r="F6" s="688"/>
    </row>
    <row r="7" spans="1:7" x14ac:dyDescent="0.25">
      <c r="A7" s="241" t="s">
        <v>63</v>
      </c>
      <c r="B7" s="370">
        <f t="shared" si="0"/>
        <v>8789.0171055796782</v>
      </c>
      <c r="C7" s="371">
        <f>'ANNEXE 1 Grille'!$B5*($C$30-$C$25)</f>
        <v>8215.9329421192342</v>
      </c>
      <c r="D7" s="372">
        <f t="shared" si="1"/>
        <v>573.08416346044339</v>
      </c>
      <c r="E7" s="237"/>
      <c r="F7" s="688"/>
    </row>
    <row r="8" spans="1:7" x14ac:dyDescent="0.25">
      <c r="A8" s="241" t="s">
        <v>64</v>
      </c>
      <c r="B8" s="370">
        <f t="shared" si="0"/>
        <v>4552.0973679992176</v>
      </c>
      <c r="C8" s="371">
        <f>'ANNEXE 1 Grille'!$B6*($C$30-$C$25)</f>
        <v>3979.0132045387741</v>
      </c>
      <c r="D8" s="372">
        <f t="shared" si="1"/>
        <v>573.08416346044339</v>
      </c>
      <c r="E8" s="237"/>
      <c r="F8" s="688"/>
    </row>
    <row r="9" spans="1:7" x14ac:dyDescent="0.25">
      <c r="A9" s="241" t="s">
        <v>65</v>
      </c>
      <c r="B9" s="370">
        <f t="shared" si="0"/>
        <v>800.23862163628803</v>
      </c>
      <c r="C9" s="371">
        <f>'ANNEXE 1 Grille'!$B7*($C$30-$C$25)</f>
        <v>227.15445817584461</v>
      </c>
      <c r="D9" s="372">
        <f t="shared" si="1"/>
        <v>573.08416346044339</v>
      </c>
      <c r="E9" s="237"/>
      <c r="F9" s="688"/>
    </row>
    <row r="10" spans="1:7" x14ac:dyDescent="0.25">
      <c r="A10" s="241" t="s">
        <v>66</v>
      </c>
      <c r="B10" s="370">
        <f t="shared" si="0"/>
        <v>0</v>
      </c>
      <c r="C10" s="371"/>
      <c r="D10" s="372">
        <f t="shared" si="1"/>
        <v>0</v>
      </c>
      <c r="E10" s="237"/>
      <c r="F10" s="688"/>
    </row>
    <row r="11" spans="1:7" x14ac:dyDescent="0.25">
      <c r="A11" s="241" t="s">
        <v>67</v>
      </c>
      <c r="B11" s="370">
        <f t="shared" si="0"/>
        <v>0</v>
      </c>
      <c r="C11" s="371"/>
      <c r="D11" s="372">
        <f t="shared" si="1"/>
        <v>0</v>
      </c>
      <c r="E11" s="237"/>
      <c r="F11" s="688"/>
    </row>
    <row r="12" spans="1:7" x14ac:dyDescent="0.25">
      <c r="A12" s="241" t="s">
        <v>68</v>
      </c>
      <c r="B12" s="370">
        <f t="shared" si="0"/>
        <v>8337.1212597405447</v>
      </c>
      <c r="C12" s="371">
        <f>'ANNEXE 1 Grille'!$B10*($C$30-$C$25)</f>
        <v>7764.0370962801017</v>
      </c>
      <c r="D12" s="372">
        <f t="shared" si="1"/>
        <v>573.08416346044339</v>
      </c>
      <c r="E12" s="237"/>
      <c r="F12" s="688"/>
    </row>
    <row r="13" spans="1:7" x14ac:dyDescent="0.25">
      <c r="A13" s="241" t="s">
        <v>69</v>
      </c>
      <c r="B13" s="370">
        <f t="shared" si="0"/>
        <v>4592.4659183279618</v>
      </c>
      <c r="C13" s="371">
        <f>'ANNEXE 1 Grille'!$B11*($C$30-$C$25)</f>
        <v>4019.3817548675183</v>
      </c>
      <c r="D13" s="372">
        <f t="shared" si="1"/>
        <v>573.08416346044339</v>
      </c>
      <c r="E13" s="237"/>
      <c r="F13" s="688"/>
    </row>
    <row r="14" spans="1:7" x14ac:dyDescent="0.25">
      <c r="A14" s="241" t="s">
        <v>70</v>
      </c>
      <c r="B14" s="370">
        <f t="shared" si="0"/>
        <v>4124.046234055515</v>
      </c>
      <c r="C14" s="371">
        <f>'ANNEXE 1 Grille'!$B12*($C$30-$C$25)</f>
        <v>3550.9620705950715</v>
      </c>
      <c r="D14" s="372">
        <f t="shared" si="1"/>
        <v>573.08416346044339</v>
      </c>
      <c r="E14" s="237"/>
      <c r="F14" s="688"/>
    </row>
    <row r="15" spans="1:7" x14ac:dyDescent="0.25">
      <c r="A15" s="241" t="s">
        <v>71</v>
      </c>
      <c r="B15" s="370">
        <f t="shared" si="0"/>
        <v>0</v>
      </c>
      <c r="C15" s="371"/>
      <c r="D15" s="372">
        <f t="shared" si="1"/>
        <v>0</v>
      </c>
      <c r="E15" s="237"/>
      <c r="F15" s="688"/>
    </row>
    <row r="16" spans="1:7" x14ac:dyDescent="0.25">
      <c r="A16" s="241" t="s">
        <v>72</v>
      </c>
      <c r="B16" s="370">
        <f t="shared" si="0"/>
        <v>2644.722703262647</v>
      </c>
      <c r="C16" s="371">
        <f>'ANNEXE 1 Grille'!$B14*($C$30-$C$25)</f>
        <v>2071.6385398022035</v>
      </c>
      <c r="D16" s="372">
        <f t="shared" si="1"/>
        <v>573.08416346044339</v>
      </c>
      <c r="E16" s="237"/>
      <c r="F16" s="688"/>
    </row>
    <row r="17" spans="1:8" x14ac:dyDescent="0.25">
      <c r="A17" s="241" t="s">
        <v>73</v>
      </c>
      <c r="B17" s="370">
        <f t="shared" si="0"/>
        <v>5002.4195435515248</v>
      </c>
      <c r="C17" s="371">
        <f>'ANNEXE 1 Grille'!$B15*($C$30-$C$25)</f>
        <v>4429.3353800910818</v>
      </c>
      <c r="D17" s="372">
        <f t="shared" si="1"/>
        <v>573.08416346044339</v>
      </c>
      <c r="E17" s="237"/>
      <c r="F17" s="688"/>
    </row>
    <row r="18" spans="1:8" x14ac:dyDescent="0.25">
      <c r="A18" s="241" t="s">
        <v>74</v>
      </c>
      <c r="B18" s="370">
        <f t="shared" si="0"/>
        <v>1503.9375375586515</v>
      </c>
      <c r="C18" s="371">
        <f>'ANNEXE 1 Grille'!$B16*($C$30-$C$25)</f>
        <v>930.85337409820818</v>
      </c>
      <c r="D18" s="372">
        <f t="shared" si="1"/>
        <v>573.08416346044339</v>
      </c>
      <c r="E18" s="237"/>
      <c r="F18" s="688"/>
    </row>
    <row r="19" spans="1:8" x14ac:dyDescent="0.25">
      <c r="A19" s="241" t="s">
        <v>75</v>
      </c>
      <c r="B19" s="370">
        <f t="shared" si="0"/>
        <v>2256.4677966800232</v>
      </c>
      <c r="C19" s="371">
        <f>'ANNEXE 1 Grille'!$B17*($C$30-$C$25)</f>
        <v>1683.3836332195799</v>
      </c>
      <c r="D19" s="372">
        <f t="shared" si="1"/>
        <v>573.08416346044339</v>
      </c>
      <c r="E19" s="237"/>
      <c r="F19" s="688"/>
    </row>
    <row r="20" spans="1:8" x14ac:dyDescent="0.25">
      <c r="A20" s="241" t="s">
        <v>76</v>
      </c>
      <c r="B20" s="370">
        <f t="shared" si="0"/>
        <v>1603.4715530603771</v>
      </c>
      <c r="C20" s="371">
        <f>'ANNEXE 1 Grille'!$B18*($C$30-$C$25)</f>
        <v>1030.3873895999336</v>
      </c>
      <c r="D20" s="372">
        <f t="shared" si="1"/>
        <v>573.08416346044339</v>
      </c>
      <c r="E20" s="237"/>
      <c r="F20" s="688"/>
    </row>
    <row r="21" spans="1:8" x14ac:dyDescent="0.25">
      <c r="A21" s="241" t="s">
        <v>77</v>
      </c>
      <c r="B21" s="370">
        <f t="shared" si="0"/>
        <v>0</v>
      </c>
      <c r="C21" s="371"/>
      <c r="D21" s="372">
        <f t="shared" si="1"/>
        <v>0</v>
      </c>
      <c r="E21" s="237"/>
      <c r="F21" s="688"/>
    </row>
    <row r="22" spans="1:8" x14ac:dyDescent="0.25">
      <c r="A22" s="241" t="s">
        <v>78</v>
      </c>
      <c r="B22" s="370">
        <f t="shared" si="0"/>
        <v>6369.3389261873072</v>
      </c>
      <c r="C22" s="371">
        <f>'ANNEXE 1 Grille'!$B20*($C$30-$C$25)</f>
        <v>5796.2547627268641</v>
      </c>
      <c r="D22" s="372">
        <f t="shared" si="1"/>
        <v>573.08416346044339</v>
      </c>
      <c r="E22" s="237"/>
      <c r="F22" s="688"/>
    </row>
    <row r="23" spans="1:8" x14ac:dyDescent="0.25">
      <c r="A23" s="241" t="s">
        <v>79</v>
      </c>
      <c r="B23" s="370">
        <f t="shared" si="0"/>
        <v>0</v>
      </c>
      <c r="C23" s="371"/>
      <c r="D23" s="372">
        <f t="shared" si="1"/>
        <v>0</v>
      </c>
      <c r="E23" s="237"/>
      <c r="F23" s="688"/>
    </row>
    <row r="24" spans="1:8" ht="12.75" customHeight="1" x14ac:dyDescent="0.25">
      <c r="A24" s="241" t="s">
        <v>80</v>
      </c>
      <c r="B24" s="370">
        <f t="shared" si="0"/>
        <v>0</v>
      </c>
      <c r="C24" s="371">
        <v>0</v>
      </c>
      <c r="D24" s="372"/>
      <c r="E24" s="237"/>
      <c r="F24" s="688"/>
    </row>
    <row r="25" spans="1:8" x14ac:dyDescent="0.25">
      <c r="A25" s="483" t="s">
        <v>188</v>
      </c>
      <c r="B25" s="503">
        <f t="shared" si="0"/>
        <v>36501.375902698601</v>
      </c>
      <c r="C25" s="504">
        <f>C30*40/100</f>
        <v>36501.375902698601</v>
      </c>
      <c r="D25" s="489"/>
      <c r="E25" s="536"/>
      <c r="F25" s="688"/>
    </row>
    <row r="26" spans="1:8" x14ac:dyDescent="0.25">
      <c r="A26" s="491" t="s">
        <v>239</v>
      </c>
      <c r="B26" s="529">
        <f>SUM(B4:B25)</f>
        <v>91253.439756746491</v>
      </c>
      <c r="C26" s="510">
        <f>SUM(C4:C25)</f>
        <v>83230.26146830029</v>
      </c>
      <c r="D26" s="494">
        <f>SUM(D4:D25)</f>
        <v>8023.1782884462054</v>
      </c>
      <c r="E26" s="537">
        <f>C30*60/100-SUM(C4:C24)</f>
        <v>8023.1782884462082</v>
      </c>
      <c r="F26" s="782"/>
    </row>
    <row r="27" spans="1:8" ht="8.25" hidden="1" customHeight="1" x14ac:dyDescent="0.25">
      <c r="A27" s="266"/>
      <c r="B27" s="274" t="s">
        <v>301</v>
      </c>
      <c r="C27" s="266"/>
      <c r="D27" s="433"/>
      <c r="E27" s="433"/>
      <c r="F27" s="293"/>
      <c r="G27" s="433">
        <f>H27-SUM(C4:C24)</f>
        <v>5711.1144343983106</v>
      </c>
      <c r="H27" s="434">
        <f>104880/1.2*60/100</f>
        <v>52440</v>
      </c>
    </row>
    <row r="28" spans="1:8" x14ac:dyDescent="0.25">
      <c r="B28" s="379" t="s">
        <v>240</v>
      </c>
      <c r="C28" s="264"/>
      <c r="F28" s="293"/>
    </row>
    <row r="29" spans="1:8" s="293" customFormat="1" x14ac:dyDescent="0.25">
      <c r="A29" s="931" t="s">
        <v>302</v>
      </c>
      <c r="B29" s="931"/>
      <c r="C29" s="687">
        <f>SUBTOTAL(3,C4:C23)</f>
        <v>14</v>
      </c>
      <c r="D29" s="591"/>
    </row>
    <row r="30" spans="1:8" s="293" customFormat="1" ht="15" customHeight="1" x14ac:dyDescent="0.25">
      <c r="A30" s="920" t="s">
        <v>319</v>
      </c>
      <c r="B30" s="920"/>
      <c r="C30" s="634">
        <f>C32*C34</f>
        <v>91253.439756746491</v>
      </c>
      <c r="D30" s="591"/>
    </row>
    <row r="31" spans="1:8" s="293" customFormat="1" ht="15" customHeight="1" x14ac:dyDescent="0.25">
      <c r="A31" s="920" t="s">
        <v>245</v>
      </c>
      <c r="B31" s="920"/>
      <c r="C31" s="634">
        <f>C30*1.2</f>
        <v>109504.12770809578</v>
      </c>
    </row>
    <row r="32" spans="1:8" s="293" customFormat="1" ht="15" customHeight="1" x14ac:dyDescent="0.25">
      <c r="A32" s="920" t="s">
        <v>305</v>
      </c>
      <c r="B32" s="920"/>
      <c r="C32" s="634">
        <v>87400</v>
      </c>
      <c r="E32" s="694"/>
    </row>
    <row r="33" spans="1:3" s="293" customFormat="1" ht="15" customHeight="1" x14ac:dyDescent="0.25">
      <c r="A33" s="920" t="s">
        <v>247</v>
      </c>
      <c r="B33" s="920"/>
      <c r="C33" s="634">
        <f>C32*1.2</f>
        <v>104880</v>
      </c>
    </row>
    <row r="34" spans="1:3" s="293" customFormat="1" ht="15" customHeight="1" x14ac:dyDescent="0.25">
      <c r="A34" s="920" t="s">
        <v>338</v>
      </c>
      <c r="B34" s="920"/>
      <c r="C34" s="594">
        <f>2747/2631</f>
        <v>1.0440896997339415</v>
      </c>
    </row>
    <row r="36" spans="1:3" x14ac:dyDescent="0.25">
      <c r="A36" s="856" t="s">
        <v>321</v>
      </c>
      <c r="B36" s="856"/>
      <c r="C36" s="856"/>
    </row>
    <row r="37" spans="1:3" x14ac:dyDescent="0.25">
      <c r="A37" s="336"/>
      <c r="B37" s="337"/>
      <c r="C37" s="339"/>
    </row>
    <row r="38" spans="1:3" x14ac:dyDescent="0.25">
      <c r="A38" s="308"/>
      <c r="B38" s="308"/>
      <c r="C38" s="276"/>
    </row>
    <row r="39" spans="1:3" x14ac:dyDescent="0.25">
      <c r="A39" s="856" t="s">
        <v>249</v>
      </c>
      <c r="B39" s="856"/>
      <c r="C39" s="856"/>
    </row>
    <row r="40" spans="1:3" x14ac:dyDescent="0.25">
      <c r="A40" s="336" t="s">
        <v>306</v>
      </c>
      <c r="B40" s="337"/>
      <c r="C40" s="339" t="s">
        <v>415</v>
      </c>
    </row>
    <row r="41" spans="1:3" x14ac:dyDescent="0.25">
      <c r="A41" s="336" t="s">
        <v>307</v>
      </c>
      <c r="B41" s="337"/>
      <c r="C41" s="339" t="s">
        <v>415</v>
      </c>
    </row>
  </sheetData>
  <mergeCells count="11">
    <mergeCell ref="A1:A3"/>
    <mergeCell ref="B1:D1"/>
    <mergeCell ref="B2:D2"/>
    <mergeCell ref="A34:B34"/>
    <mergeCell ref="A36:C36"/>
    <mergeCell ref="A39:C39"/>
    <mergeCell ref="A29:B29"/>
    <mergeCell ref="A30:B30"/>
    <mergeCell ref="A31:B31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77"/>
  <sheetViews>
    <sheetView topLeftCell="A13" workbookViewId="0">
      <selection activeCell="K23" sqref="K23"/>
    </sheetView>
  </sheetViews>
  <sheetFormatPr baseColWidth="10" defaultColWidth="9.140625" defaultRowHeight="15" x14ac:dyDescent="0.25"/>
  <cols>
    <col min="1" max="1" width="22.28515625" style="188" customWidth="1"/>
    <col min="2" max="2" width="9.140625" style="188"/>
    <col min="3" max="3" width="15.42578125" style="188" customWidth="1"/>
    <col min="4" max="4" width="13.85546875" style="188" customWidth="1"/>
    <col min="5" max="7" width="10.85546875" style="188" bestFit="1" customWidth="1"/>
    <col min="8" max="8" width="11.85546875" style="188" bestFit="1" customWidth="1"/>
    <col min="9" max="9" width="10.85546875" style="188" bestFit="1" customWidth="1"/>
    <col min="10" max="10" width="10.140625" style="188" bestFit="1" customWidth="1"/>
    <col min="11" max="11" width="18.5703125" style="188" bestFit="1" customWidth="1"/>
    <col min="12" max="12" width="12.5703125" style="188" bestFit="1" customWidth="1"/>
    <col min="13" max="13" width="6.28515625" style="188" bestFit="1" customWidth="1"/>
    <col min="14" max="14" width="7.85546875" style="188" bestFit="1" customWidth="1"/>
    <col min="15" max="15" width="11.85546875" style="188" bestFit="1" customWidth="1"/>
    <col min="16" max="16384" width="9.140625" style="188"/>
  </cols>
  <sheetData>
    <row r="1" spans="1:11" ht="15" customHeight="1" x14ac:dyDescent="0.25">
      <c r="A1" s="936" t="s">
        <v>234</v>
      </c>
      <c r="B1" s="930" t="s">
        <v>416</v>
      </c>
      <c r="C1" s="930"/>
      <c r="D1" s="930"/>
      <c r="E1" s="676"/>
      <c r="F1" s="936" t="s">
        <v>234</v>
      </c>
      <c r="G1" s="937" t="s">
        <v>417</v>
      </c>
      <c r="H1" s="937"/>
      <c r="I1" s="937"/>
      <c r="J1" s="293"/>
      <c r="K1" s="293"/>
    </row>
    <row r="2" spans="1:11" ht="15" customHeight="1" x14ac:dyDescent="0.25">
      <c r="A2" s="936"/>
      <c r="B2" s="888" t="s">
        <v>297</v>
      </c>
      <c r="C2" s="888"/>
      <c r="D2" s="888"/>
      <c r="E2" s="677"/>
      <c r="F2" s="936"/>
      <c r="G2" s="888">
        <v>2021</v>
      </c>
      <c r="H2" s="888"/>
      <c r="I2" s="888"/>
      <c r="J2" s="293"/>
      <c r="K2" s="293"/>
    </row>
    <row r="3" spans="1:11" ht="60" x14ac:dyDescent="0.25">
      <c r="A3" s="936"/>
      <c r="B3" s="678" t="s">
        <v>189</v>
      </c>
      <c r="C3" s="679" t="s">
        <v>237</v>
      </c>
      <c r="D3" s="679" t="s">
        <v>238</v>
      </c>
      <c r="E3" s="781"/>
      <c r="F3" s="936"/>
      <c r="G3" s="679" t="s">
        <v>298</v>
      </c>
      <c r="H3" s="680" t="s">
        <v>299</v>
      </c>
      <c r="I3" s="681" t="s">
        <v>300</v>
      </c>
      <c r="J3" s="293"/>
      <c r="K3" s="293"/>
    </row>
    <row r="4" spans="1:11" x14ac:dyDescent="0.25">
      <c r="A4" s="241" t="s">
        <v>60</v>
      </c>
      <c r="B4" s="246">
        <f t="shared" ref="B4:B26" si="0">C4+D4</f>
        <v>3152.5722803286471</v>
      </c>
      <c r="C4" s="243">
        <f t="shared" ref="C4:C25" si="1">G4</f>
        <v>3152.5722803286471</v>
      </c>
      <c r="D4" s="244">
        <f>I45</f>
        <v>0</v>
      </c>
      <c r="E4" s="688"/>
      <c r="F4" s="241" t="s">
        <v>60</v>
      </c>
      <c r="G4" s="370">
        <f t="shared" ref="G4:G24" si="2">H4+I4</f>
        <v>3152.5722803286471</v>
      </c>
      <c r="H4" s="371">
        <f>'ANNEXE 1 Grille'!$B2*($I$26-$H$25)</f>
        <v>2062.5291128125596</v>
      </c>
      <c r="I4" s="372">
        <f t="shared" ref="I4:I23" si="3">IF(H4&lt;&gt;0,H$27/C$31,H4)</f>
        <v>1090.0431675160876</v>
      </c>
      <c r="J4" s="233"/>
    </row>
    <row r="5" spans="1:11" x14ac:dyDescent="0.25">
      <c r="A5" s="241" t="s">
        <v>61</v>
      </c>
      <c r="B5" s="246">
        <f t="shared" si="0"/>
        <v>0</v>
      </c>
      <c r="C5" s="243">
        <f t="shared" si="1"/>
        <v>0</v>
      </c>
      <c r="D5" s="244">
        <v>0</v>
      </c>
      <c r="E5" s="688"/>
      <c r="F5" s="241" t="s">
        <v>61</v>
      </c>
      <c r="G5" s="370">
        <f t="shared" si="2"/>
        <v>0</v>
      </c>
      <c r="H5" s="371"/>
      <c r="I5" s="372">
        <f t="shared" si="3"/>
        <v>0</v>
      </c>
      <c r="J5" s="233"/>
    </row>
    <row r="6" spans="1:11" x14ac:dyDescent="0.25">
      <c r="A6" s="241" t="s">
        <v>62</v>
      </c>
      <c r="B6" s="246">
        <f t="shared" si="0"/>
        <v>1747.728274060235</v>
      </c>
      <c r="C6" s="243">
        <f t="shared" si="1"/>
        <v>1747.728274060235</v>
      </c>
      <c r="D6" s="244">
        <f>N42</f>
        <v>0</v>
      </c>
      <c r="E6" s="688"/>
      <c r="F6" s="241" t="s">
        <v>62</v>
      </c>
      <c r="G6" s="370">
        <f t="shared" si="2"/>
        <v>1747.728274060235</v>
      </c>
      <c r="H6" s="371">
        <f>'ANNEXE 1 Grille'!$B4*($I$26-$H$25)</f>
        <v>657.68510654414752</v>
      </c>
      <c r="I6" s="372">
        <f t="shared" si="3"/>
        <v>1090.0431675160876</v>
      </c>
      <c r="J6" s="233"/>
    </row>
    <row r="7" spans="1:11" x14ac:dyDescent="0.25">
      <c r="A7" s="241" t="s">
        <v>63</v>
      </c>
      <c r="B7" s="246">
        <f t="shared" si="0"/>
        <v>8464.6420154480547</v>
      </c>
      <c r="C7" s="243">
        <f t="shared" si="1"/>
        <v>8464.6420154480547</v>
      </c>
      <c r="D7" s="244">
        <f>E42</f>
        <v>0</v>
      </c>
      <c r="E7" s="688"/>
      <c r="F7" s="241" t="s">
        <v>63</v>
      </c>
      <c r="G7" s="370">
        <f t="shared" si="2"/>
        <v>8464.6420154480547</v>
      </c>
      <c r="H7" s="371">
        <f>'ANNEXE 1 Grille'!$B5*($I$26-$H$25)</f>
        <v>7374.5988479319676</v>
      </c>
      <c r="I7" s="372">
        <f t="shared" si="3"/>
        <v>1090.0431675160876</v>
      </c>
      <c r="J7" s="233"/>
    </row>
    <row r="8" spans="1:11" x14ac:dyDescent="0.25">
      <c r="A8" s="241" t="s">
        <v>64</v>
      </c>
      <c r="B8" s="246">
        <f t="shared" si="0"/>
        <v>4661.5944935580428</v>
      </c>
      <c r="C8" s="243">
        <f t="shared" si="1"/>
        <v>4661.5944935580428</v>
      </c>
      <c r="D8" s="244">
        <f>G42</f>
        <v>0</v>
      </c>
      <c r="E8" s="688"/>
      <c r="F8" s="241" t="s">
        <v>64</v>
      </c>
      <c r="G8" s="370">
        <f t="shared" si="2"/>
        <v>4661.5944935580428</v>
      </c>
      <c r="H8" s="371">
        <f>'ANNEXE 1 Grille'!$B6*($I$26-$H$25)</f>
        <v>3571.5513260419548</v>
      </c>
      <c r="I8" s="372">
        <f t="shared" si="3"/>
        <v>1090.0431675160876</v>
      </c>
      <c r="J8" s="233"/>
    </row>
    <row r="9" spans="1:11" x14ac:dyDescent="0.25">
      <c r="A9" s="241" t="s">
        <v>65</v>
      </c>
      <c r="B9" s="246">
        <f t="shared" si="0"/>
        <v>1293.9363854096232</v>
      </c>
      <c r="C9" s="243">
        <f t="shared" si="1"/>
        <v>1293.9363854096232</v>
      </c>
      <c r="D9" s="244">
        <f>0</f>
        <v>0</v>
      </c>
      <c r="E9" s="688"/>
      <c r="F9" s="241" t="s">
        <v>65</v>
      </c>
      <c r="G9" s="370">
        <f t="shared" si="2"/>
        <v>1293.9363854096232</v>
      </c>
      <c r="H9" s="371">
        <f>'ANNEXE 1 Grille'!$B7*($I$26-$H$25)</f>
        <v>203.89321789353559</v>
      </c>
      <c r="I9" s="372">
        <f t="shared" si="3"/>
        <v>1090.0431675160876</v>
      </c>
      <c r="J9" s="233"/>
    </row>
    <row r="10" spans="1:11" x14ac:dyDescent="0.25">
      <c r="A10" s="241" t="s">
        <v>66</v>
      </c>
      <c r="B10" s="246">
        <f t="shared" si="0"/>
        <v>0</v>
      </c>
      <c r="C10" s="243">
        <f t="shared" si="1"/>
        <v>0</v>
      </c>
      <c r="D10" s="244">
        <v>0</v>
      </c>
      <c r="E10" s="688"/>
      <c r="F10" s="241" t="s">
        <v>66</v>
      </c>
      <c r="G10" s="370">
        <f t="shared" si="2"/>
        <v>0</v>
      </c>
      <c r="H10" s="371"/>
      <c r="I10" s="372">
        <f t="shared" si="3"/>
        <v>0</v>
      </c>
      <c r="J10" s="233"/>
    </row>
    <row r="11" spans="1:11" x14ac:dyDescent="0.25">
      <c r="A11" s="241" t="s">
        <v>67</v>
      </c>
      <c r="B11" s="246">
        <f t="shared" si="0"/>
        <v>0</v>
      </c>
      <c r="C11" s="243">
        <f t="shared" si="1"/>
        <v>0</v>
      </c>
      <c r="D11" s="244">
        <v>0</v>
      </c>
      <c r="E11" s="688"/>
      <c r="F11" s="241" t="s">
        <v>67</v>
      </c>
      <c r="G11" s="370">
        <f t="shared" si="2"/>
        <v>0</v>
      </c>
      <c r="H11" s="371"/>
      <c r="I11" s="372">
        <f t="shared" si="3"/>
        <v>0</v>
      </c>
      <c r="J11" s="233"/>
    </row>
    <row r="12" spans="1:11" x14ac:dyDescent="0.25">
      <c r="A12" s="241" t="s">
        <v>68</v>
      </c>
      <c r="B12" s="246">
        <f t="shared" si="0"/>
        <v>0</v>
      </c>
      <c r="C12" s="243">
        <f t="shared" si="1"/>
        <v>0</v>
      </c>
      <c r="D12" s="244">
        <f>0</f>
        <v>0</v>
      </c>
      <c r="E12" s="688"/>
      <c r="F12" s="241" t="s">
        <v>68</v>
      </c>
      <c r="G12" s="370">
        <f t="shared" si="2"/>
        <v>0</v>
      </c>
      <c r="H12" s="371"/>
      <c r="I12" s="372">
        <f t="shared" si="3"/>
        <v>0</v>
      </c>
      <c r="J12" s="233"/>
    </row>
    <row r="13" spans="1:11" x14ac:dyDescent="0.25">
      <c r="A13" s="241" t="s">
        <v>69</v>
      </c>
      <c r="B13" s="246">
        <f t="shared" si="0"/>
        <v>4697.8291934812687</v>
      </c>
      <c r="C13" s="243">
        <f t="shared" si="1"/>
        <v>4697.8291934812687</v>
      </c>
      <c r="D13" s="244">
        <f>F42</f>
        <v>0</v>
      </c>
      <c r="E13" s="688"/>
      <c r="F13" s="241" t="s">
        <v>69</v>
      </c>
      <c r="G13" s="370">
        <f t="shared" si="2"/>
        <v>4697.8291934812687</v>
      </c>
      <c r="H13" s="371">
        <f>'ANNEXE 1 Grille'!$B11*($I$26-$H$25)</f>
        <v>3607.7860259651811</v>
      </c>
      <c r="I13" s="372">
        <f t="shared" si="3"/>
        <v>1090.0431675160876</v>
      </c>
      <c r="J13" s="233"/>
    </row>
    <row r="14" spans="1:11" x14ac:dyDescent="0.25">
      <c r="A14" s="241" t="s">
        <v>70</v>
      </c>
      <c r="B14" s="246">
        <f t="shared" si="0"/>
        <v>4277.3769711566292</v>
      </c>
      <c r="C14" s="243">
        <f t="shared" si="1"/>
        <v>4277.3769711566292</v>
      </c>
      <c r="D14" s="244">
        <f>J45</f>
        <v>0</v>
      </c>
      <c r="E14" s="688"/>
      <c r="F14" s="241" t="s">
        <v>70</v>
      </c>
      <c r="G14" s="370">
        <f t="shared" si="2"/>
        <v>4277.3769711566292</v>
      </c>
      <c r="H14" s="371">
        <f>'ANNEXE 1 Grille'!$B12*($I$26-$H$25)</f>
        <v>3187.3338036405421</v>
      </c>
      <c r="I14" s="372">
        <f t="shared" si="3"/>
        <v>1090.0431675160876</v>
      </c>
      <c r="J14" s="233"/>
    </row>
    <row r="15" spans="1:11" x14ac:dyDescent="0.25">
      <c r="A15" s="241" t="s">
        <v>71</v>
      </c>
      <c r="B15" s="246">
        <f t="shared" si="0"/>
        <v>0</v>
      </c>
      <c r="C15" s="243">
        <f t="shared" si="1"/>
        <v>0</v>
      </c>
      <c r="D15" s="244">
        <f>0</f>
        <v>0</v>
      </c>
      <c r="E15" s="688"/>
      <c r="F15" s="241" t="s">
        <v>71</v>
      </c>
      <c r="G15" s="370">
        <f t="shared" si="2"/>
        <v>0</v>
      </c>
      <c r="H15" s="371"/>
      <c r="I15" s="372">
        <f t="shared" si="3"/>
        <v>0</v>
      </c>
      <c r="J15" s="233"/>
    </row>
    <row r="16" spans="1:11" x14ac:dyDescent="0.25">
      <c r="A16" s="241" t="s">
        <v>72</v>
      </c>
      <c r="B16" s="246">
        <f t="shared" si="0"/>
        <v>2949.5402321325964</v>
      </c>
      <c r="C16" s="243">
        <f t="shared" si="1"/>
        <v>2949.5402321325964</v>
      </c>
      <c r="D16" s="244">
        <f>L45</f>
        <v>0</v>
      </c>
      <c r="E16" s="688"/>
      <c r="F16" s="241" t="s">
        <v>72</v>
      </c>
      <c r="G16" s="370">
        <f t="shared" si="2"/>
        <v>2949.5402321325964</v>
      </c>
      <c r="H16" s="371">
        <f>'ANNEXE 1 Grille'!$B14*($I$26-$H$25)</f>
        <v>1859.4970646165086</v>
      </c>
      <c r="I16" s="372">
        <f t="shared" si="3"/>
        <v>1090.0431675160876</v>
      </c>
      <c r="J16" s="233"/>
    </row>
    <row r="17" spans="1:10" x14ac:dyDescent="0.25">
      <c r="A17" s="241" t="s">
        <v>73</v>
      </c>
      <c r="B17" s="246">
        <f t="shared" si="0"/>
        <v>5065.8024417511606</v>
      </c>
      <c r="C17" s="243">
        <f t="shared" si="1"/>
        <v>5065.8024417511606</v>
      </c>
      <c r="D17" s="244">
        <f>D42</f>
        <v>0</v>
      </c>
      <c r="E17" s="688"/>
      <c r="F17" s="241" t="s">
        <v>73</v>
      </c>
      <c r="G17" s="370">
        <f t="shared" si="2"/>
        <v>5065.8024417511606</v>
      </c>
      <c r="H17" s="371">
        <f>'ANNEXE 1 Grille'!$B15*($I$26-$H$25)</f>
        <v>3975.759274235073</v>
      </c>
      <c r="I17" s="372">
        <f t="shared" si="3"/>
        <v>1090.0431675160876</v>
      </c>
      <c r="J17" s="233"/>
    </row>
    <row r="18" spans="1:10" x14ac:dyDescent="0.25">
      <c r="A18" s="241" t="s">
        <v>74</v>
      </c>
      <c r="B18" s="246">
        <f t="shared" si="0"/>
        <v>1925.5745999875344</v>
      </c>
      <c r="C18" s="243">
        <f t="shared" si="1"/>
        <v>1925.5745999875344</v>
      </c>
      <c r="D18" s="244">
        <f>M42</f>
        <v>0</v>
      </c>
      <c r="E18" s="688"/>
      <c r="F18" s="241" t="s">
        <v>74</v>
      </c>
      <c r="G18" s="370">
        <f t="shared" si="2"/>
        <v>1925.5745999875344</v>
      </c>
      <c r="H18" s="371">
        <f>'ANNEXE 1 Grille'!$B16*($I$26-$H$25)</f>
        <v>835.53143247144669</v>
      </c>
      <c r="I18" s="372">
        <f t="shared" si="3"/>
        <v>1090.0431675160876</v>
      </c>
      <c r="J18" s="233"/>
    </row>
    <row r="19" spans="1:10" x14ac:dyDescent="0.25">
      <c r="A19" s="241" t="s">
        <v>75</v>
      </c>
      <c r="B19" s="246">
        <f t="shared" si="0"/>
        <v>2601.0436941302301</v>
      </c>
      <c r="C19" s="243">
        <f t="shared" si="1"/>
        <v>2601.0436941302301</v>
      </c>
      <c r="D19" s="244">
        <f>K42</f>
        <v>0</v>
      </c>
      <c r="E19" s="688"/>
      <c r="F19" s="241" t="s">
        <v>75</v>
      </c>
      <c r="G19" s="370">
        <f t="shared" si="2"/>
        <v>2601.0436941302301</v>
      </c>
      <c r="H19" s="371">
        <f>'ANNEXE 1 Grille'!$B17*($I$26-$H$25)</f>
        <v>1511.0005266141425</v>
      </c>
      <c r="I19" s="372">
        <f t="shared" si="3"/>
        <v>1090.0431675160876</v>
      </c>
      <c r="J19" s="233"/>
    </row>
    <row r="20" spans="1:10" x14ac:dyDescent="0.25">
      <c r="A20" s="241" t="s">
        <v>76</v>
      </c>
      <c r="B20" s="246">
        <f t="shared" si="0"/>
        <v>2014.9160589819321</v>
      </c>
      <c r="C20" s="243">
        <f t="shared" si="1"/>
        <v>2014.9160589819321</v>
      </c>
      <c r="D20" s="244">
        <f>0</f>
        <v>0</v>
      </c>
      <c r="E20" s="688"/>
      <c r="F20" s="241" t="s">
        <v>76</v>
      </c>
      <c r="G20" s="370">
        <f t="shared" si="2"/>
        <v>2014.9160589819321</v>
      </c>
      <c r="H20" s="371">
        <f>'ANNEXE 1 Grille'!$B18*($I$26-$H$25)</f>
        <v>924.87289146584442</v>
      </c>
      <c r="I20" s="372">
        <f t="shared" si="3"/>
        <v>1090.0431675160876</v>
      </c>
      <c r="J20" s="233"/>
    </row>
    <row r="21" spans="1:10" x14ac:dyDescent="0.25">
      <c r="A21" s="241" t="s">
        <v>77</v>
      </c>
      <c r="B21" s="246">
        <f t="shared" si="0"/>
        <v>0</v>
      </c>
      <c r="C21" s="243">
        <f t="shared" si="1"/>
        <v>0</v>
      </c>
      <c r="D21" s="244">
        <f>0</f>
        <v>0</v>
      </c>
      <c r="E21" s="688"/>
      <c r="F21" s="241" t="s">
        <v>77</v>
      </c>
      <c r="G21" s="370">
        <f t="shared" si="2"/>
        <v>0</v>
      </c>
      <c r="H21" s="371"/>
      <c r="I21" s="372">
        <f t="shared" si="3"/>
        <v>0</v>
      </c>
      <c r="J21" s="233"/>
    </row>
    <row r="22" spans="1:10" x14ac:dyDescent="0.25">
      <c r="A22" s="241" t="s">
        <v>78</v>
      </c>
      <c r="B22" s="246">
        <f t="shared" si="0"/>
        <v>7879.7618696462614</v>
      </c>
      <c r="C22" s="243">
        <f t="shared" si="1"/>
        <v>6292.7455260506704</v>
      </c>
      <c r="D22" s="244">
        <f>H45</f>
        <v>1587.016343595591</v>
      </c>
      <c r="E22" s="688"/>
      <c r="F22" s="241" t="s">
        <v>78</v>
      </c>
      <c r="G22" s="370">
        <f t="shared" si="2"/>
        <v>6292.7455260506704</v>
      </c>
      <c r="H22" s="371">
        <f>'ANNEXE 1 Grille'!$B20*($I$26-$H$25)</f>
        <v>5202.7023585345823</v>
      </c>
      <c r="I22" s="372">
        <f t="shared" si="3"/>
        <v>1090.0431675160876</v>
      </c>
      <c r="J22" s="233"/>
    </row>
    <row r="23" spans="1:10" x14ac:dyDescent="0.25">
      <c r="A23" s="241" t="s">
        <v>79</v>
      </c>
      <c r="B23" s="246">
        <f t="shared" si="0"/>
        <v>0</v>
      </c>
      <c r="C23" s="243">
        <f t="shared" si="1"/>
        <v>0</v>
      </c>
      <c r="D23" s="244">
        <v>0</v>
      </c>
      <c r="E23" s="688"/>
      <c r="F23" s="241" t="s">
        <v>79</v>
      </c>
      <c r="G23" s="370">
        <f t="shared" si="2"/>
        <v>0</v>
      </c>
      <c r="H23" s="371"/>
      <c r="I23" s="372">
        <f t="shared" si="3"/>
        <v>0</v>
      </c>
      <c r="J23" s="233"/>
    </row>
    <row r="24" spans="1:10" x14ac:dyDescent="0.25">
      <c r="A24" s="241" t="s">
        <v>80</v>
      </c>
      <c r="B24" s="246">
        <f t="shared" si="0"/>
        <v>0</v>
      </c>
      <c r="C24" s="243">
        <f t="shared" si="1"/>
        <v>0</v>
      </c>
      <c r="D24" s="244">
        <v>0</v>
      </c>
      <c r="E24" s="688"/>
      <c r="F24" s="241" t="s">
        <v>80</v>
      </c>
      <c r="G24" s="370">
        <f t="shared" si="2"/>
        <v>0</v>
      </c>
      <c r="H24" s="371"/>
      <c r="I24" s="372"/>
      <c r="J24" s="233"/>
    </row>
    <row r="25" spans="1:10" s="293" customFormat="1" x14ac:dyDescent="0.25">
      <c r="A25" s="620" t="s">
        <v>188</v>
      </c>
      <c r="B25" s="650">
        <f t="shared" si="0"/>
        <v>32763.534777651086</v>
      </c>
      <c r="C25" s="622">
        <f t="shared" si="1"/>
        <v>32763.534777651086</v>
      </c>
      <c r="D25" s="682">
        <v>0</v>
      </c>
      <c r="E25" s="688"/>
      <c r="F25" s="620" t="s">
        <v>188</v>
      </c>
      <c r="G25" s="622">
        <f>H25+I25</f>
        <v>32763.534777651086</v>
      </c>
      <c r="H25" s="650">
        <f>(C34*C36)*40/100</f>
        <v>32763.534777651086</v>
      </c>
      <c r="I25" s="579"/>
      <c r="J25" s="252"/>
    </row>
    <row r="26" spans="1:10" ht="42" customHeight="1" x14ac:dyDescent="0.25">
      <c r="A26" s="491" t="s">
        <v>239</v>
      </c>
      <c r="B26" s="492">
        <f t="shared" si="0"/>
        <v>83495.853287723308</v>
      </c>
      <c r="C26" s="490">
        <f>SUM(C4:C25)</f>
        <v>81908.836944127717</v>
      </c>
      <c r="D26" s="260">
        <f>SUM(D4:D25)</f>
        <v>1587.016343595591</v>
      </c>
      <c r="E26" s="688"/>
      <c r="F26" s="491" t="s">
        <v>239</v>
      </c>
      <c r="G26" s="529">
        <f>SUM(G4:G25)</f>
        <v>81908.836944127717</v>
      </c>
      <c r="H26" s="510">
        <f>SUM(H4:H25)</f>
        <v>67738.275766418577</v>
      </c>
      <c r="I26" s="494">
        <f>C32</f>
        <v>81908.836944127717</v>
      </c>
    </row>
    <row r="27" spans="1:10" ht="60" hidden="1" x14ac:dyDescent="0.25">
      <c r="A27" s="495" t="s">
        <v>301</v>
      </c>
      <c r="B27" s="525">
        <f>SUM(B4:B25)</f>
        <v>83495.853287723308</v>
      </c>
      <c r="C27" s="526">
        <f>SUM(C4:C25)</f>
        <v>81908.836944127717</v>
      </c>
      <c r="D27" s="246">
        <f>SUM(D4:D25)</f>
        <v>1587.016343595591</v>
      </c>
      <c r="E27" s="783"/>
      <c r="F27" s="495" t="s">
        <v>301</v>
      </c>
      <c r="G27" s="530"/>
      <c r="H27" s="530">
        <f>I27-SUM(H4:H24)</f>
        <v>14170.56117770914</v>
      </c>
      <c r="I27" s="531">
        <f>C32-H25</f>
        <v>49145.302166476627</v>
      </c>
    </row>
    <row r="28" spans="1:10" ht="0.75" customHeight="1" x14ac:dyDescent="0.25">
      <c r="A28" s="511"/>
      <c r="B28" s="527"/>
      <c r="C28" s="527"/>
      <c r="D28" s="330"/>
      <c r="E28" s="783"/>
      <c r="F28" s="532" t="s">
        <v>418</v>
      </c>
      <c r="G28" s="530"/>
      <c r="H28" s="533"/>
      <c r="I28" s="531">
        <f>92661.81/1.2*40/100</f>
        <v>30887.27</v>
      </c>
    </row>
    <row r="29" spans="1:10" x14ac:dyDescent="0.25">
      <c r="A29" s="511" t="s">
        <v>240</v>
      </c>
      <c r="B29" s="528">
        <f>SUM(B4:B25)</f>
        <v>83495.853287723308</v>
      </c>
      <c r="C29" s="528"/>
      <c r="D29" s="436"/>
      <c r="E29" s="784"/>
      <c r="F29" s="511" t="s">
        <v>240</v>
      </c>
      <c r="G29" s="534">
        <f>SUM(G4:G25)</f>
        <v>81908.836944127717</v>
      </c>
      <c r="H29" s="535"/>
      <c r="I29" s="535">
        <f>I26-H26</f>
        <v>14170.56117770914</v>
      </c>
    </row>
    <row r="30" spans="1:10" ht="15" customHeight="1" x14ac:dyDescent="0.25">
      <c r="B30" s="264"/>
      <c r="G30" s="264"/>
    </row>
    <row r="31" spans="1:10" s="293" customFormat="1" ht="15" customHeight="1" x14ac:dyDescent="0.25">
      <c r="A31" s="931" t="s">
        <v>302</v>
      </c>
      <c r="B31" s="931"/>
      <c r="C31" s="687">
        <f>SUBTOTAL(3,H4:H23)</f>
        <v>13</v>
      </c>
      <c r="G31" s="591"/>
      <c r="H31" s="688"/>
    </row>
    <row r="32" spans="1:10" s="293" customFormat="1" ht="15" customHeight="1" x14ac:dyDescent="0.25">
      <c r="A32" s="920" t="s">
        <v>319</v>
      </c>
      <c r="B32" s="920"/>
      <c r="C32" s="586">
        <f>C34*C36</f>
        <v>81908.836944127717</v>
      </c>
      <c r="G32" s="689"/>
    </row>
    <row r="33" spans="1:15" s="293" customFormat="1" ht="15" customHeight="1" x14ac:dyDescent="0.25">
      <c r="A33" s="920" t="s">
        <v>245</v>
      </c>
      <c r="B33" s="920"/>
      <c r="C33" s="586">
        <f>C32*1.2</f>
        <v>98290.604332953255</v>
      </c>
    </row>
    <row r="34" spans="1:15" s="293" customFormat="1" ht="15" customHeight="1" x14ac:dyDescent="0.25">
      <c r="A34" s="920" t="s">
        <v>305</v>
      </c>
      <c r="B34" s="920"/>
      <c r="C34" s="586">
        <v>78450</v>
      </c>
    </row>
    <row r="35" spans="1:15" s="293" customFormat="1" ht="15" customHeight="1" x14ac:dyDescent="0.25">
      <c r="A35" s="920" t="s">
        <v>247</v>
      </c>
      <c r="B35" s="920"/>
      <c r="C35" s="586">
        <f>C34*1.2</f>
        <v>94140</v>
      </c>
    </row>
    <row r="36" spans="1:15" s="293" customFormat="1" x14ac:dyDescent="0.25">
      <c r="A36" s="920" t="s">
        <v>338</v>
      </c>
      <c r="B36" s="920"/>
      <c r="C36" s="594">
        <f>2747/2631</f>
        <v>1.0440896997339415</v>
      </c>
    </row>
    <row r="37" spans="1:15" s="293" customFormat="1" x14ac:dyDescent="0.25">
      <c r="C37" s="252"/>
    </row>
    <row r="38" spans="1:15" s="293" customFormat="1" x14ac:dyDescent="0.25">
      <c r="A38" s="935" t="s">
        <v>249</v>
      </c>
      <c r="B38" s="935"/>
      <c r="C38" s="935"/>
    </row>
    <row r="39" spans="1:15" s="293" customFormat="1" x14ac:dyDescent="0.25">
      <c r="A39" s="690" t="s">
        <v>306</v>
      </c>
      <c r="B39" s="691"/>
      <c r="C39" s="692">
        <f>O46</f>
        <v>1587.016343595591</v>
      </c>
    </row>
    <row r="40" spans="1:15" s="293" customFormat="1" x14ac:dyDescent="0.25">
      <c r="A40" s="690" t="s">
        <v>307</v>
      </c>
      <c r="B40" s="691"/>
      <c r="C40" s="692">
        <f>O47</f>
        <v>0</v>
      </c>
    </row>
    <row r="43" spans="1:15" x14ac:dyDescent="0.25">
      <c r="A43" s="277" t="s">
        <v>419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</row>
    <row r="44" spans="1:15" s="293" customFormat="1" ht="30" x14ac:dyDescent="0.25">
      <c r="A44" s="851">
        <v>2021</v>
      </c>
      <c r="B44" s="851"/>
      <c r="C44" s="851"/>
      <c r="D44" s="283" t="s">
        <v>73</v>
      </c>
      <c r="E44" s="283" t="s">
        <v>63</v>
      </c>
      <c r="F44" s="283" t="s">
        <v>69</v>
      </c>
      <c r="G44" s="283" t="s">
        <v>64</v>
      </c>
      <c r="H44" s="284" t="s">
        <v>78</v>
      </c>
      <c r="I44" s="283" t="s">
        <v>60</v>
      </c>
      <c r="J44" s="283" t="s">
        <v>70</v>
      </c>
      <c r="K44" s="283" t="s">
        <v>75</v>
      </c>
      <c r="L44" s="283" t="s">
        <v>72</v>
      </c>
      <c r="M44" s="283" t="s">
        <v>74</v>
      </c>
      <c r="N44" s="283" t="s">
        <v>62</v>
      </c>
      <c r="O44" s="285" t="s">
        <v>43</v>
      </c>
    </row>
    <row r="45" spans="1:15" x14ac:dyDescent="0.25">
      <c r="A45" s="934" t="s">
        <v>257</v>
      </c>
      <c r="B45" s="934"/>
      <c r="C45" s="934"/>
      <c r="D45" s="288">
        <f>SUM(D46:D47)</f>
        <v>0</v>
      </c>
      <c r="E45" s="288">
        <f t="shared" ref="E45:N45" si="4">SUM(E46:E47)</f>
        <v>0</v>
      </c>
      <c r="F45" s="288">
        <f t="shared" si="4"/>
        <v>0</v>
      </c>
      <c r="G45" s="288">
        <f t="shared" si="4"/>
        <v>0</v>
      </c>
      <c r="H45" s="288">
        <f t="shared" si="4"/>
        <v>1587.016343595591</v>
      </c>
      <c r="I45" s="288">
        <f t="shared" si="4"/>
        <v>0</v>
      </c>
      <c r="J45" s="288">
        <f t="shared" si="4"/>
        <v>0</v>
      </c>
      <c r="K45" s="288">
        <f t="shared" si="4"/>
        <v>0</v>
      </c>
      <c r="L45" s="288">
        <f t="shared" si="4"/>
        <v>0</v>
      </c>
      <c r="M45" s="288">
        <f t="shared" si="4"/>
        <v>0</v>
      </c>
      <c r="N45" s="288">
        <f t="shared" si="4"/>
        <v>0</v>
      </c>
      <c r="O45" s="303">
        <f>SUM(D45:N45)</f>
        <v>1587.016343595591</v>
      </c>
    </row>
    <row r="46" spans="1:15" x14ac:dyDescent="0.25">
      <c r="A46" s="934" t="s">
        <v>340</v>
      </c>
      <c r="B46" s="934"/>
      <c r="C46" s="934"/>
      <c r="D46" s="437">
        <f>D52</f>
        <v>0</v>
      </c>
      <c r="E46" s="437">
        <f t="shared" ref="E46:O46" si="5">E52</f>
        <v>0</v>
      </c>
      <c r="F46" s="437">
        <f t="shared" si="5"/>
        <v>0</v>
      </c>
      <c r="G46" s="437">
        <f t="shared" si="5"/>
        <v>0</v>
      </c>
      <c r="H46" s="437">
        <f t="shared" si="5"/>
        <v>1587.016343595591</v>
      </c>
      <c r="I46" s="437">
        <f t="shared" si="5"/>
        <v>0</v>
      </c>
      <c r="J46" s="437">
        <f t="shared" si="5"/>
        <v>0</v>
      </c>
      <c r="K46" s="437">
        <f t="shared" si="5"/>
        <v>0</v>
      </c>
      <c r="L46" s="437">
        <f t="shared" si="5"/>
        <v>0</v>
      </c>
      <c r="M46" s="437">
        <f t="shared" si="5"/>
        <v>0</v>
      </c>
      <c r="N46" s="437">
        <f t="shared" si="5"/>
        <v>0</v>
      </c>
      <c r="O46" s="437">
        <f t="shared" si="5"/>
        <v>1587.016343595591</v>
      </c>
    </row>
    <row r="47" spans="1:15" x14ac:dyDescent="0.25">
      <c r="A47" s="934" t="s">
        <v>341</v>
      </c>
      <c r="B47" s="934"/>
      <c r="C47" s="934"/>
      <c r="D47" s="232">
        <f>D74</f>
        <v>0</v>
      </c>
      <c r="E47" s="232">
        <f t="shared" ref="E47:N47" si="6">E74</f>
        <v>0</v>
      </c>
      <c r="F47" s="232">
        <f t="shared" si="6"/>
        <v>0</v>
      </c>
      <c r="G47" s="232">
        <f t="shared" si="6"/>
        <v>0</v>
      </c>
      <c r="H47" s="232">
        <f t="shared" si="6"/>
        <v>0</v>
      </c>
      <c r="I47" s="232">
        <f t="shared" si="6"/>
        <v>0</v>
      </c>
      <c r="J47" s="232">
        <f t="shared" si="6"/>
        <v>0</v>
      </c>
      <c r="K47" s="232">
        <f t="shared" si="6"/>
        <v>0</v>
      </c>
      <c r="L47" s="232">
        <f t="shared" si="6"/>
        <v>0</v>
      </c>
      <c r="M47" s="232">
        <f t="shared" si="6"/>
        <v>0</v>
      </c>
      <c r="N47" s="232">
        <f t="shared" si="6"/>
        <v>0</v>
      </c>
      <c r="O47" s="303">
        <f>SUM(D47:N47)</f>
        <v>0</v>
      </c>
    </row>
    <row r="48" spans="1:15" x14ac:dyDescent="0.25">
      <c r="A48" s="290"/>
      <c r="B48" s="291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O48" s="264"/>
    </row>
    <row r="49" spans="1:15" x14ac:dyDescent="0.25">
      <c r="A49" s="290"/>
      <c r="B49" s="291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</row>
    <row r="50" spans="1:15" x14ac:dyDescent="0.25">
      <c r="A50" s="295" t="s">
        <v>311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</row>
    <row r="51" spans="1:15" ht="26.25" customHeight="1" x14ac:dyDescent="0.25">
      <c r="A51" s="927" t="s">
        <v>312</v>
      </c>
      <c r="B51" s="927"/>
      <c r="C51" s="394" t="s">
        <v>342</v>
      </c>
      <c r="D51" s="299" t="s">
        <v>264</v>
      </c>
      <c r="E51" s="299" t="s">
        <v>63</v>
      </c>
      <c r="F51" s="299" t="s">
        <v>69</v>
      </c>
      <c r="G51" s="299" t="s">
        <v>64</v>
      </c>
      <c r="H51" s="300" t="s">
        <v>78</v>
      </c>
      <c r="I51" s="300" t="s">
        <v>60</v>
      </c>
      <c r="J51" s="299" t="s">
        <v>265</v>
      </c>
      <c r="K51" s="299" t="s">
        <v>75</v>
      </c>
      <c r="L51" s="299" t="s">
        <v>72</v>
      </c>
      <c r="M51" s="299" t="s">
        <v>74</v>
      </c>
      <c r="N51" s="299" t="s">
        <v>62</v>
      </c>
      <c r="O51" s="342" t="s">
        <v>43</v>
      </c>
    </row>
    <row r="52" spans="1:15" s="293" customFormat="1" x14ac:dyDescent="0.25">
      <c r="A52" s="655">
        <f>2747/2631</f>
        <v>1.0440896997339415</v>
      </c>
      <c r="B52" s="683">
        <v>2021</v>
      </c>
      <c r="C52" s="684">
        <f>C54*$A$52</f>
        <v>396.75408589889776</v>
      </c>
      <c r="D52" s="684">
        <f t="shared" ref="D52:O52" si="7">D54*$A$52</f>
        <v>0</v>
      </c>
      <c r="E52" s="684">
        <f t="shared" si="7"/>
        <v>0</v>
      </c>
      <c r="F52" s="684">
        <f t="shared" si="7"/>
        <v>0</v>
      </c>
      <c r="G52" s="684">
        <f t="shared" si="7"/>
        <v>0</v>
      </c>
      <c r="H52" s="684">
        <f t="shared" si="7"/>
        <v>1587.016343595591</v>
      </c>
      <c r="I52" s="684">
        <f t="shared" si="7"/>
        <v>0</v>
      </c>
      <c r="J52" s="684">
        <f t="shared" si="7"/>
        <v>0</v>
      </c>
      <c r="K52" s="684">
        <f t="shared" si="7"/>
        <v>0</v>
      </c>
      <c r="L52" s="684">
        <f t="shared" si="7"/>
        <v>0</v>
      </c>
      <c r="M52" s="684">
        <f t="shared" si="7"/>
        <v>0</v>
      </c>
      <c r="N52" s="684">
        <f t="shared" si="7"/>
        <v>0</v>
      </c>
      <c r="O52" s="684">
        <f t="shared" si="7"/>
        <v>1587.016343595591</v>
      </c>
    </row>
    <row r="53" spans="1:15" x14ac:dyDescent="0.25">
      <c r="A53" s="395">
        <f>2694/2631</f>
        <v>1.0239452679589509</v>
      </c>
      <c r="B53" s="704">
        <v>2019</v>
      </c>
      <c r="C53" s="438">
        <f>C54*A53</f>
        <v>389.09920182440135</v>
      </c>
      <c r="D53" s="352">
        <f t="shared" ref="D53:I55" si="8">$E$63/10*D$59</f>
        <v>0</v>
      </c>
      <c r="E53" s="352">
        <f t="shared" si="8"/>
        <v>0</v>
      </c>
      <c r="F53" s="352">
        <f t="shared" si="8"/>
        <v>0</v>
      </c>
      <c r="G53" s="352">
        <f t="shared" si="8"/>
        <v>0</v>
      </c>
      <c r="H53" s="439">
        <f>C53*H59</f>
        <v>1556.3968072976054</v>
      </c>
      <c r="I53" s="352">
        <f t="shared" si="8"/>
        <v>0</v>
      </c>
      <c r="J53" s="352">
        <v>0</v>
      </c>
      <c r="K53" s="352">
        <f t="shared" ref="K53:N55" si="9">$E$63/10*K$59</f>
        <v>0</v>
      </c>
      <c r="L53" s="352">
        <f t="shared" si="9"/>
        <v>0</v>
      </c>
      <c r="M53" s="352">
        <f t="shared" si="9"/>
        <v>0</v>
      </c>
      <c r="N53" s="352">
        <f t="shared" si="9"/>
        <v>0</v>
      </c>
      <c r="O53" s="435">
        <f t="shared" ref="O53:O58" si="10">SUM(D53:J53)</f>
        <v>1556.3968072976054</v>
      </c>
    </row>
    <row r="54" spans="1:15" x14ac:dyDescent="0.25">
      <c r="A54" s="927">
        <v>2018</v>
      </c>
      <c r="B54" s="927"/>
      <c r="C54" s="440">
        <v>380</v>
      </c>
      <c r="D54" s="352">
        <f t="shared" si="8"/>
        <v>0</v>
      </c>
      <c r="E54" s="352">
        <f t="shared" si="8"/>
        <v>0</v>
      </c>
      <c r="F54" s="352">
        <f t="shared" si="8"/>
        <v>0</v>
      </c>
      <c r="G54" s="352">
        <f t="shared" si="8"/>
        <v>0</v>
      </c>
      <c r="H54" s="352">
        <f>C54*H59</f>
        <v>1520</v>
      </c>
      <c r="I54" s="352">
        <f t="shared" si="8"/>
        <v>0</v>
      </c>
      <c r="J54" s="352">
        <v>0</v>
      </c>
      <c r="K54" s="352">
        <f t="shared" si="9"/>
        <v>0</v>
      </c>
      <c r="L54" s="352">
        <f t="shared" si="9"/>
        <v>0</v>
      </c>
      <c r="M54" s="352">
        <f t="shared" si="9"/>
        <v>0</v>
      </c>
      <c r="N54" s="352">
        <f t="shared" si="9"/>
        <v>0</v>
      </c>
      <c r="O54" s="435">
        <f t="shared" si="10"/>
        <v>1520</v>
      </c>
    </row>
    <row r="55" spans="1:15" x14ac:dyDescent="0.25">
      <c r="A55" s="927">
        <v>2017</v>
      </c>
      <c r="B55" s="927"/>
      <c r="C55" s="440"/>
      <c r="D55" s="352">
        <f t="shared" si="8"/>
        <v>0</v>
      </c>
      <c r="E55" s="352">
        <f t="shared" si="8"/>
        <v>0</v>
      </c>
      <c r="F55" s="352">
        <f t="shared" si="8"/>
        <v>0</v>
      </c>
      <c r="G55" s="352">
        <f t="shared" si="8"/>
        <v>0</v>
      </c>
      <c r="H55" s="352">
        <f t="shared" si="8"/>
        <v>3878.6297803091948</v>
      </c>
      <c r="I55" s="352">
        <f t="shared" si="8"/>
        <v>0</v>
      </c>
      <c r="J55" s="352">
        <v>0</v>
      </c>
      <c r="K55" s="352">
        <f t="shared" si="9"/>
        <v>0</v>
      </c>
      <c r="L55" s="352">
        <f t="shared" si="9"/>
        <v>0</v>
      </c>
      <c r="M55" s="352">
        <f t="shared" si="9"/>
        <v>0</v>
      </c>
      <c r="N55" s="352">
        <f t="shared" si="9"/>
        <v>0</v>
      </c>
      <c r="O55" s="435">
        <f t="shared" si="10"/>
        <v>3878.6297803091948</v>
      </c>
    </row>
    <row r="56" spans="1:15" x14ac:dyDescent="0.25">
      <c r="A56" s="927">
        <v>2016</v>
      </c>
      <c r="B56" s="927"/>
      <c r="C56" s="440"/>
      <c r="D56" s="352">
        <v>0</v>
      </c>
      <c r="E56" s="352">
        <v>0</v>
      </c>
      <c r="F56" s="352">
        <v>0</v>
      </c>
      <c r="G56" s="352">
        <v>0</v>
      </c>
      <c r="H56" s="352">
        <f>D63/10*H59</f>
        <v>3809.2027600000001</v>
      </c>
      <c r="I56" s="352">
        <v>0</v>
      </c>
      <c r="J56" s="352">
        <f>D63/10*J59</f>
        <v>952.30069000000003</v>
      </c>
      <c r="K56" s="352">
        <v>0</v>
      </c>
      <c r="L56" s="352">
        <v>0</v>
      </c>
      <c r="M56" s="352" t="e">
        <f>#REF!*$D$17/10</f>
        <v>#REF!</v>
      </c>
      <c r="N56" s="352" t="e">
        <f>#REF!*$D$17/10</f>
        <v>#REF!</v>
      </c>
      <c r="O56" s="435">
        <f t="shared" si="10"/>
        <v>4761.5034500000002</v>
      </c>
    </row>
    <row r="57" spans="1:15" x14ac:dyDescent="0.25">
      <c r="A57" s="927">
        <v>2015</v>
      </c>
      <c r="B57" s="927"/>
      <c r="C57" s="440"/>
      <c r="D57" s="352">
        <v>0</v>
      </c>
      <c r="E57" s="352">
        <v>0</v>
      </c>
      <c r="F57" s="352">
        <v>0</v>
      </c>
      <c r="G57" s="352">
        <v>0</v>
      </c>
      <c r="H57" s="352">
        <f>C63/10*H59</f>
        <v>3694.7616000000003</v>
      </c>
      <c r="I57" s="352">
        <v>0</v>
      </c>
      <c r="J57" s="352">
        <f>C63/10*J59</f>
        <v>923.69040000000007</v>
      </c>
      <c r="K57" s="352">
        <v>0</v>
      </c>
      <c r="L57" s="352">
        <v>0</v>
      </c>
      <c r="M57" s="352">
        <v>0</v>
      </c>
      <c r="N57" s="352">
        <v>0</v>
      </c>
      <c r="O57" s="435">
        <f t="shared" si="10"/>
        <v>4618.4520000000002</v>
      </c>
    </row>
    <row r="58" spans="1:15" x14ac:dyDescent="0.25">
      <c r="A58" s="927">
        <v>2014</v>
      </c>
      <c r="B58" s="927"/>
      <c r="C58" s="440"/>
      <c r="D58" s="352">
        <v>0</v>
      </c>
      <c r="E58" s="352">
        <v>0</v>
      </c>
      <c r="F58" s="352">
        <v>0</v>
      </c>
      <c r="G58" s="352">
        <v>0</v>
      </c>
      <c r="H58" s="352">
        <f>B63/10*H59</f>
        <v>3709.6</v>
      </c>
      <c r="I58" s="352">
        <v>0</v>
      </c>
      <c r="J58" s="352">
        <f>D63/10*1</f>
        <v>952.30069000000003</v>
      </c>
      <c r="K58" s="352">
        <v>0</v>
      </c>
      <c r="L58" s="352">
        <v>0</v>
      </c>
      <c r="M58" s="352">
        <v>0</v>
      </c>
      <c r="N58" s="352">
        <v>0</v>
      </c>
      <c r="O58" s="435">
        <f t="shared" si="10"/>
        <v>4661.9006900000004</v>
      </c>
    </row>
    <row r="59" spans="1:15" ht="15" customHeight="1" x14ac:dyDescent="0.25">
      <c r="A59" s="927" t="s">
        <v>266</v>
      </c>
      <c r="B59" s="927"/>
      <c r="C59" s="441">
        <v>0</v>
      </c>
      <c r="D59" s="442">
        <v>0</v>
      </c>
      <c r="E59" s="443">
        <v>0</v>
      </c>
      <c r="F59" s="443">
        <v>0</v>
      </c>
      <c r="G59" s="443">
        <v>0</v>
      </c>
      <c r="H59" s="443">
        <v>4</v>
      </c>
      <c r="I59" s="443">
        <v>0</v>
      </c>
      <c r="J59" s="443">
        <v>1</v>
      </c>
      <c r="K59" s="443">
        <v>0</v>
      </c>
      <c r="L59" s="443">
        <v>0</v>
      </c>
      <c r="M59" s="443">
        <v>0</v>
      </c>
      <c r="N59" s="443">
        <v>0</v>
      </c>
      <c r="O59" s="443"/>
    </row>
    <row r="60" spans="1:15" x14ac:dyDescent="0.25">
      <c r="A60" s="306"/>
      <c r="B60" s="307"/>
      <c r="C60" s="307"/>
      <c r="D60" s="307"/>
      <c r="E60" s="233"/>
      <c r="F60" s="233"/>
      <c r="G60" s="233"/>
      <c r="H60" s="233"/>
      <c r="I60" s="233"/>
      <c r="K60" s="233"/>
      <c r="L60" s="233"/>
      <c r="M60" s="233"/>
      <c r="N60" s="233"/>
      <c r="O60" s="233"/>
    </row>
    <row r="61" spans="1:15" x14ac:dyDescent="0.25">
      <c r="A61" s="520" t="s">
        <v>343</v>
      </c>
      <c r="B61" s="521">
        <v>2014</v>
      </c>
      <c r="C61" s="521">
        <v>2015</v>
      </c>
      <c r="D61" s="521">
        <v>2016</v>
      </c>
      <c r="E61" s="521">
        <v>2017</v>
      </c>
      <c r="F61" s="521">
        <v>2018</v>
      </c>
      <c r="G61" s="521">
        <v>2019</v>
      </c>
      <c r="H61" s="685">
        <v>2021</v>
      </c>
      <c r="I61" s="233"/>
      <c r="J61" s="233"/>
      <c r="K61" s="233"/>
      <c r="L61" s="233"/>
      <c r="M61" s="233"/>
      <c r="N61" s="233"/>
      <c r="O61" s="233"/>
    </row>
    <row r="62" spans="1:15" x14ac:dyDescent="0.25">
      <c r="A62" s="520" t="s">
        <v>262</v>
      </c>
      <c r="B62" s="520" t="s">
        <v>185</v>
      </c>
      <c r="C62" s="520">
        <v>0.996</v>
      </c>
      <c r="D62" s="522">
        <v>1.02685</v>
      </c>
      <c r="E62" s="523">
        <f>2570/2458</f>
        <v>1.0455655004068349</v>
      </c>
      <c r="F62" s="524" t="s">
        <v>185</v>
      </c>
      <c r="G62" s="523">
        <f>A53</f>
        <v>1.0239452679589509</v>
      </c>
      <c r="H62" s="686">
        <f>C36</f>
        <v>1.0440896997339415</v>
      </c>
      <c r="I62" s="233"/>
      <c r="J62" s="233"/>
      <c r="K62" s="233"/>
      <c r="L62" s="233"/>
      <c r="M62" s="233"/>
      <c r="N62" s="233"/>
      <c r="O62" s="233"/>
    </row>
    <row r="63" spans="1:15" x14ac:dyDescent="0.25">
      <c r="A63" s="305" t="s">
        <v>345</v>
      </c>
      <c r="B63" s="556">
        <v>9274</v>
      </c>
      <c r="C63" s="406">
        <f>B63*C62</f>
        <v>9236.9040000000005</v>
      </c>
      <c r="D63" s="406">
        <f>B63*D62</f>
        <v>9523.0069000000003</v>
      </c>
      <c r="E63" s="406">
        <f>B63*E62</f>
        <v>9696.5744507729869</v>
      </c>
      <c r="F63" s="233"/>
      <c r="G63" s="233"/>
      <c r="H63" s="233"/>
      <c r="I63" s="233"/>
      <c r="J63" s="233"/>
      <c r="K63" s="233"/>
      <c r="L63" s="233"/>
      <c r="M63" s="233"/>
      <c r="N63" s="233"/>
      <c r="O63" s="233"/>
    </row>
    <row r="64" spans="1:15" x14ac:dyDescent="0.25">
      <c r="A64" s="306"/>
      <c r="B64" s="307"/>
      <c r="C64" s="307"/>
      <c r="D64" s="307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</row>
    <row r="65" spans="1:15" x14ac:dyDescent="0.25">
      <c r="A65" s="444" t="s">
        <v>420</v>
      </c>
      <c r="B65" s="445"/>
      <c r="C65" s="445"/>
      <c r="D65" s="446"/>
      <c r="E65" s="447"/>
      <c r="F65" s="448"/>
      <c r="G65" s="446"/>
      <c r="H65" s="233"/>
      <c r="I65" s="233"/>
      <c r="J65" s="233"/>
      <c r="K65" s="233"/>
      <c r="L65" s="233"/>
      <c r="M65" s="233"/>
      <c r="N65" s="233"/>
      <c r="O65" s="233"/>
    </row>
    <row r="66" spans="1:15" x14ac:dyDescent="0.25">
      <c r="A66" s="449" t="s">
        <v>421</v>
      </c>
      <c r="B66" s="448"/>
      <c r="C66" s="446"/>
      <c r="D66" s="233"/>
      <c r="E66" s="233"/>
      <c r="F66" s="233"/>
      <c r="G66" s="233"/>
      <c r="H66" s="233"/>
      <c r="I66" s="233"/>
      <c r="J66" s="233"/>
      <c r="K66" s="233"/>
    </row>
    <row r="67" spans="1:15" x14ac:dyDescent="0.25">
      <c r="A67" s="449" t="s">
        <v>422</v>
      </c>
      <c r="B67" s="448"/>
      <c r="C67" s="446"/>
      <c r="D67" s="233"/>
      <c r="E67" s="233"/>
      <c r="F67" s="233"/>
      <c r="G67" s="233"/>
      <c r="H67" s="233"/>
      <c r="I67" s="233"/>
      <c r="J67" s="233"/>
      <c r="K67" s="233"/>
    </row>
    <row r="68" spans="1:15" x14ac:dyDescent="0.25">
      <c r="A68" s="449" t="s">
        <v>423</v>
      </c>
      <c r="B68" s="448"/>
      <c r="C68" s="446"/>
      <c r="D68" s="233"/>
      <c r="E68" s="233"/>
      <c r="F68" s="233"/>
      <c r="G68" s="233"/>
      <c r="H68" s="233"/>
      <c r="I68" s="233"/>
      <c r="J68" s="233"/>
      <c r="K68" s="233"/>
    </row>
    <row r="69" spans="1:15" x14ac:dyDescent="0.25">
      <c r="A69" s="449" t="s">
        <v>424</v>
      </c>
      <c r="B69" s="448"/>
      <c r="C69" s="446"/>
      <c r="D69" s="233"/>
      <c r="E69" s="233"/>
      <c r="F69" s="233"/>
      <c r="G69" s="233"/>
      <c r="H69" s="233"/>
      <c r="I69" s="233"/>
      <c r="J69" s="233"/>
      <c r="K69" s="233"/>
    </row>
    <row r="70" spans="1:15" x14ac:dyDescent="0.25">
      <c r="A70" s="446"/>
      <c r="B70" s="447"/>
      <c r="C70" s="448"/>
      <c r="D70" s="446"/>
      <c r="E70" s="233"/>
      <c r="F70" s="233"/>
      <c r="G70" s="233"/>
      <c r="H70" s="233"/>
      <c r="I70" s="233"/>
      <c r="J70" s="233"/>
      <c r="K70" s="233"/>
      <c r="L70" s="233"/>
    </row>
    <row r="71" spans="1:15" x14ac:dyDescent="0.25">
      <c r="A71" s="446"/>
      <c r="B71" s="447"/>
      <c r="C71" s="448"/>
      <c r="D71" s="446"/>
      <c r="E71" s="233"/>
      <c r="F71" s="233"/>
      <c r="G71" s="233"/>
      <c r="H71" s="233"/>
      <c r="I71" s="233"/>
      <c r="J71" s="233"/>
      <c r="K71" s="233"/>
      <c r="L71" s="233"/>
    </row>
    <row r="72" spans="1:15" x14ac:dyDescent="0.25">
      <c r="A72" s="277" t="s">
        <v>293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</row>
    <row r="73" spans="1:15" ht="26.25" x14ac:dyDescent="0.25">
      <c r="A73" s="312" t="s">
        <v>312</v>
      </c>
      <c r="B73" s="312" t="s">
        <v>262</v>
      </c>
      <c r="C73" s="312" t="s">
        <v>263</v>
      </c>
      <c r="D73" s="299" t="s">
        <v>264</v>
      </c>
      <c r="E73" s="299" t="s">
        <v>63</v>
      </c>
      <c r="F73" s="299" t="s">
        <v>69</v>
      </c>
      <c r="G73" s="299" t="s">
        <v>64</v>
      </c>
      <c r="H73" s="300" t="s">
        <v>78</v>
      </c>
      <c r="I73" s="299" t="s">
        <v>60</v>
      </c>
      <c r="J73" s="299" t="s">
        <v>265</v>
      </c>
      <c r="K73" s="299" t="s">
        <v>75</v>
      </c>
      <c r="L73" s="299" t="s">
        <v>72</v>
      </c>
      <c r="M73" s="299" t="s">
        <v>74</v>
      </c>
      <c r="N73" s="299" t="s">
        <v>62</v>
      </c>
    </row>
    <row r="74" spans="1:15" x14ac:dyDescent="0.25">
      <c r="A74" s="312">
        <v>2017</v>
      </c>
      <c r="B74" s="301">
        <f>2570/2458</f>
        <v>1.0455655004068349</v>
      </c>
      <c r="C74" s="450">
        <f>B74*C77</f>
        <v>1777.4613506916194</v>
      </c>
      <c r="D74" s="429">
        <v>0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0</v>
      </c>
    </row>
    <row r="75" spans="1:15" x14ac:dyDescent="0.25">
      <c r="A75" s="698">
        <v>2016</v>
      </c>
      <c r="B75" s="301">
        <v>1.02685</v>
      </c>
      <c r="C75" s="429">
        <f>C77*B75</f>
        <v>1745.645</v>
      </c>
      <c r="D75" s="429">
        <v>0</v>
      </c>
      <c r="E75" s="429">
        <v>0</v>
      </c>
      <c r="F75" s="429">
        <v>0</v>
      </c>
      <c r="G75" s="429">
        <v>0</v>
      </c>
      <c r="H75" s="429">
        <f>$C75/2</f>
        <v>872.82249999999999</v>
      </c>
      <c r="I75" s="429">
        <v>0</v>
      </c>
      <c r="J75" s="429">
        <v>0</v>
      </c>
      <c r="K75" s="429">
        <v>0</v>
      </c>
      <c r="L75" s="429">
        <f>$C75/2</f>
        <v>872.82249999999999</v>
      </c>
      <c r="M75" s="429">
        <v>0</v>
      </c>
      <c r="N75" s="429">
        <v>0</v>
      </c>
    </row>
    <row r="76" spans="1:15" x14ac:dyDescent="0.25">
      <c r="A76" s="698">
        <v>2015</v>
      </c>
      <c r="B76" s="305">
        <v>0.996</v>
      </c>
      <c r="C76" s="429">
        <f>C77*B76</f>
        <v>1693.2</v>
      </c>
      <c r="D76" s="429">
        <v>0</v>
      </c>
      <c r="E76" s="429">
        <v>0</v>
      </c>
      <c r="F76" s="429">
        <v>0</v>
      </c>
      <c r="G76" s="429">
        <v>0</v>
      </c>
      <c r="H76" s="429">
        <f>$C76/2</f>
        <v>846.6</v>
      </c>
      <c r="I76" s="429">
        <v>0</v>
      </c>
      <c r="J76" s="429">
        <v>0</v>
      </c>
      <c r="K76" s="429">
        <v>0</v>
      </c>
      <c r="L76" s="429">
        <f>$C76/2</f>
        <v>846.6</v>
      </c>
      <c r="M76" s="429">
        <v>0</v>
      </c>
      <c r="N76" s="429">
        <v>0</v>
      </c>
    </row>
    <row r="77" spans="1:15" x14ac:dyDescent="0.25">
      <c r="A77" s="698">
        <v>2014</v>
      </c>
      <c r="B77" s="706" t="s">
        <v>185</v>
      </c>
      <c r="C77" s="429">
        <v>1700</v>
      </c>
      <c r="D77" s="429">
        <v>0</v>
      </c>
      <c r="E77" s="429">
        <v>0</v>
      </c>
      <c r="F77" s="429">
        <v>0</v>
      </c>
      <c r="G77" s="429">
        <v>0</v>
      </c>
      <c r="H77" s="429">
        <f>$C77/2</f>
        <v>850</v>
      </c>
      <c r="I77" s="429">
        <v>0</v>
      </c>
      <c r="J77" s="429">
        <v>0</v>
      </c>
      <c r="K77" s="429">
        <v>0</v>
      </c>
      <c r="L77" s="429">
        <f>$C77/2</f>
        <v>850</v>
      </c>
      <c r="M77" s="429">
        <v>0</v>
      </c>
      <c r="N77" s="429">
        <v>0</v>
      </c>
    </row>
  </sheetData>
  <mergeCells count="24">
    <mergeCell ref="A1:A3"/>
    <mergeCell ref="B1:D1"/>
    <mergeCell ref="F1:F3"/>
    <mergeCell ref="G1:I1"/>
    <mergeCell ref="B2:D2"/>
    <mergeCell ref="G2:I2"/>
    <mergeCell ref="A31:B31"/>
    <mergeCell ref="A32:B32"/>
    <mergeCell ref="A33:B33"/>
    <mergeCell ref="A34:B34"/>
    <mergeCell ref="A35:B35"/>
    <mergeCell ref="A36:B36"/>
    <mergeCell ref="A38:C38"/>
    <mergeCell ref="A44:C44"/>
    <mergeCell ref="A45:C45"/>
    <mergeCell ref="A57:B57"/>
    <mergeCell ref="A58:B58"/>
    <mergeCell ref="A59:B59"/>
    <mergeCell ref="A46:C46"/>
    <mergeCell ref="A47:C47"/>
    <mergeCell ref="A51:B51"/>
    <mergeCell ref="A55:B55"/>
    <mergeCell ref="A56:B56"/>
    <mergeCell ref="A54:B5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R37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J26" sqref="J26"/>
    </sheetView>
  </sheetViews>
  <sheetFormatPr baseColWidth="10" defaultColWidth="9.140625" defaultRowHeight="15" x14ac:dyDescent="0.25"/>
  <cols>
    <col min="1" max="1" width="9.140625" style="188"/>
    <col min="2" max="2" width="11.85546875" style="188" bestFit="1" customWidth="1"/>
    <col min="3" max="3" width="9.85546875" style="188" bestFit="1" customWidth="1"/>
    <col min="4" max="4" width="8.7109375" style="188" bestFit="1" customWidth="1"/>
    <col min="5" max="6" width="9.140625" style="188"/>
    <col min="7" max="7" width="9.85546875" style="188" bestFit="1" customWidth="1"/>
    <col min="8" max="8" width="8.7109375" style="188" bestFit="1" customWidth="1"/>
    <col min="9" max="16384" width="9.140625" style="188"/>
  </cols>
  <sheetData>
    <row r="1" spans="1:10" ht="15" customHeight="1" x14ac:dyDescent="0.25">
      <c r="A1" s="887" t="s">
        <v>234</v>
      </c>
      <c r="B1" s="940" t="s">
        <v>425</v>
      </c>
      <c r="C1" s="940"/>
      <c r="D1" s="940"/>
      <c r="E1" s="713"/>
      <c r="F1" s="941" t="s">
        <v>426</v>
      </c>
      <c r="G1" s="941"/>
      <c r="H1" s="941"/>
      <c r="I1" s="454"/>
      <c r="J1" s="455"/>
    </row>
    <row r="2" spans="1:10" ht="15" customHeight="1" x14ac:dyDescent="0.25">
      <c r="A2" s="887"/>
      <c r="B2" s="942">
        <v>2021</v>
      </c>
      <c r="C2" s="942"/>
      <c r="D2" s="942"/>
      <c r="E2" s="714"/>
      <c r="F2" s="942">
        <v>2021</v>
      </c>
      <c r="G2" s="942"/>
      <c r="H2" s="942"/>
    </row>
    <row r="3" spans="1:10" ht="45" customHeight="1" x14ac:dyDescent="0.25">
      <c r="A3" s="887"/>
      <c r="B3" s="715" t="s">
        <v>298</v>
      </c>
      <c r="C3" s="716" t="s">
        <v>299</v>
      </c>
      <c r="D3" s="717" t="s">
        <v>300</v>
      </c>
      <c r="E3" s="718"/>
      <c r="F3" s="715" t="s">
        <v>298</v>
      </c>
      <c r="G3" s="719" t="s">
        <v>299</v>
      </c>
      <c r="H3" s="717" t="s">
        <v>300</v>
      </c>
    </row>
    <row r="4" spans="1:10" x14ac:dyDescent="0.25">
      <c r="A4" s="720" t="s">
        <v>60</v>
      </c>
      <c r="B4" s="721">
        <f t="shared" ref="B4:B25" si="0">C4+D4</f>
        <v>1858.8264602502898</v>
      </c>
      <c r="C4" s="722">
        <f>'ANNEXE 1 Grille'!B2*($D$31-$C$25)</f>
        <v>1426.4864849328892</v>
      </c>
      <c r="D4" s="723">
        <f t="shared" ref="D4:D22" si="1">IF(C4&lt;&gt;0,$D$27/$D$29,C4)</f>
        <v>432.33997531740056</v>
      </c>
      <c r="E4" s="724"/>
      <c r="F4" s="721">
        <f t="shared" ref="F4:F25" si="2">G4+H4</f>
        <v>1427.9166899195411</v>
      </c>
      <c r="G4" s="725">
        <f>'ANNEXE 1 Grille'!B2*$H$31*60/100</f>
        <v>1095.8009816075378</v>
      </c>
      <c r="H4" s="723">
        <f t="shared" ref="H4:H23" si="3">IF(G4&lt;&gt;0,$H$27/$H$29,G4)</f>
        <v>332.11570831200322</v>
      </c>
    </row>
    <row r="5" spans="1:10" x14ac:dyDescent="0.25">
      <c r="A5" s="720" t="s">
        <v>61</v>
      </c>
      <c r="B5" s="721">
        <f t="shared" si="0"/>
        <v>0</v>
      </c>
      <c r="C5" s="722"/>
      <c r="D5" s="723">
        <f t="shared" si="1"/>
        <v>0</v>
      </c>
      <c r="E5" s="724"/>
      <c r="F5" s="721">
        <f t="shared" si="2"/>
        <v>0</v>
      </c>
      <c r="G5" s="725"/>
      <c r="H5" s="723">
        <f t="shared" si="3"/>
        <v>0</v>
      </c>
    </row>
    <row r="6" spans="1:10" x14ac:dyDescent="0.25">
      <c r="A6" s="720" t="s">
        <v>62</v>
      </c>
      <c r="B6" s="721">
        <f t="shared" si="0"/>
        <v>887.20818057028532</v>
      </c>
      <c r="C6" s="722">
        <f>'ANNEXE 1 Grille'!B4*($D$31-$C$25)</f>
        <v>454.86820525288482</v>
      </c>
      <c r="D6" s="726">
        <f t="shared" si="1"/>
        <v>432.33997531740056</v>
      </c>
      <c r="E6" s="724"/>
      <c r="F6" s="721">
        <f t="shared" si="2"/>
        <v>681.5371932562648</v>
      </c>
      <c r="G6" s="725">
        <f>'ANNEXE 1 Grille'!B4*$H$31*60/100</f>
        <v>349.42148494426152</v>
      </c>
      <c r="H6" s="723">
        <f t="shared" si="3"/>
        <v>332.11570831200322</v>
      </c>
    </row>
    <row r="7" spans="1:10" x14ac:dyDescent="0.25">
      <c r="A7" s="720" t="s">
        <v>63</v>
      </c>
      <c r="B7" s="721">
        <f t="shared" si="0"/>
        <v>5532.7603878231766</v>
      </c>
      <c r="C7" s="722">
        <f>'ANNEXE 1 Grille'!B5*($D$31-$C$25)</f>
        <v>5100.4204125057759</v>
      </c>
      <c r="D7" s="723">
        <f t="shared" si="1"/>
        <v>432.33997531740056</v>
      </c>
      <c r="E7" s="724"/>
      <c r="F7" s="721">
        <f t="shared" si="2"/>
        <v>4250.1659342823496</v>
      </c>
      <c r="G7" s="725">
        <f>'ANNEXE 1 Grille'!B5*$H$31*60/100</f>
        <v>3918.0502259703462</v>
      </c>
      <c r="H7" s="723">
        <f t="shared" si="3"/>
        <v>332.11570831200322</v>
      </c>
    </row>
    <row r="8" spans="1:10" x14ac:dyDescent="0.25">
      <c r="A8" s="720" t="s">
        <v>64</v>
      </c>
      <c r="B8" s="721">
        <f t="shared" si="0"/>
        <v>2902.4964764760798</v>
      </c>
      <c r="C8" s="722">
        <f>'ANNEXE 1 Grille'!B6*($D$31-$C$25)</f>
        <v>2470.1565011586795</v>
      </c>
      <c r="D8" s="723">
        <f t="shared" si="1"/>
        <v>432.33997531740056</v>
      </c>
      <c r="E8" s="724"/>
      <c r="F8" s="721">
        <f t="shared" si="2"/>
        <v>2229.6450205657161</v>
      </c>
      <c r="G8" s="725">
        <f>'ANNEXE 1 Grille'!B6*$H$31*60/100</f>
        <v>1897.5293122537128</v>
      </c>
      <c r="H8" s="723">
        <f t="shared" si="3"/>
        <v>332.11570831200322</v>
      </c>
    </row>
    <row r="9" spans="1:10" x14ac:dyDescent="0.25">
      <c r="A9" s="720" t="s">
        <v>65</v>
      </c>
      <c r="B9" s="721">
        <f t="shared" si="0"/>
        <v>573.35661255554726</v>
      </c>
      <c r="C9" s="722">
        <f>'ANNEXE 1 Grille'!B7*($D$31-$C$25)</f>
        <v>141.0166372381467</v>
      </c>
      <c r="D9" s="723">
        <f t="shared" si="1"/>
        <v>432.33997531740056</v>
      </c>
      <c r="E9" s="724"/>
      <c r="F9" s="721">
        <f t="shared" si="2"/>
        <v>440.44212509948863</v>
      </c>
      <c r="G9" s="725">
        <f>'ANNEXE 1 Grille'!B7*$H$31*60/100</f>
        <v>108.32641678748543</v>
      </c>
      <c r="H9" s="723">
        <f t="shared" si="3"/>
        <v>332.11570831200322</v>
      </c>
    </row>
    <row r="10" spans="1:10" x14ac:dyDescent="0.25">
      <c r="A10" s="720" t="s">
        <v>66</v>
      </c>
      <c r="B10" s="721">
        <f t="shared" si="0"/>
        <v>0</v>
      </c>
      <c r="C10" s="722"/>
      <c r="D10" s="723">
        <f t="shared" si="1"/>
        <v>0</v>
      </c>
      <c r="E10" s="724"/>
      <c r="F10" s="721">
        <f t="shared" si="2"/>
        <v>0</v>
      </c>
      <c r="G10" s="725"/>
      <c r="H10" s="723">
        <f t="shared" si="3"/>
        <v>0</v>
      </c>
    </row>
    <row r="11" spans="1:10" x14ac:dyDescent="0.25">
      <c r="A11" s="720" t="s">
        <v>67</v>
      </c>
      <c r="B11" s="721">
        <f t="shared" si="0"/>
        <v>0</v>
      </c>
      <c r="C11" s="722"/>
      <c r="D11" s="723">
        <f t="shared" si="1"/>
        <v>0</v>
      </c>
      <c r="E11" s="724"/>
      <c r="F11" s="721">
        <f t="shared" si="2"/>
        <v>0</v>
      </c>
      <c r="G11" s="725"/>
      <c r="H11" s="723">
        <f t="shared" si="3"/>
        <v>0</v>
      </c>
    </row>
    <row r="12" spans="1:10" x14ac:dyDescent="0.25">
      <c r="A12" s="720" t="s">
        <v>68</v>
      </c>
      <c r="B12" s="721">
        <f t="shared" si="0"/>
        <v>5252.2251384872734</v>
      </c>
      <c r="C12" s="722">
        <f>'ANNEXE 1 Grille'!B10*($D$31-$C$25)</f>
        <v>4819.8851631698726</v>
      </c>
      <c r="D12" s="723">
        <f t="shared" si="1"/>
        <v>432.33997531740056</v>
      </c>
      <c r="E12" s="724"/>
      <c r="F12" s="721">
        <f t="shared" si="2"/>
        <v>4034.6638563834058</v>
      </c>
      <c r="G12" s="725">
        <f>'ANNEXE 1 Grille'!B10*$H$31*60/100</f>
        <v>3702.5481480714025</v>
      </c>
      <c r="H12" s="723">
        <f t="shared" si="3"/>
        <v>332.11570831200322</v>
      </c>
    </row>
    <row r="13" spans="1:10" x14ac:dyDescent="0.25">
      <c r="A13" s="720" t="s">
        <v>69</v>
      </c>
      <c r="B13" s="721">
        <f t="shared" si="0"/>
        <v>2927.5571213925523</v>
      </c>
      <c r="C13" s="722">
        <f>'ANNEXE 1 Grille'!B11*($D$31-$C$25)</f>
        <v>2495.2171460751515</v>
      </c>
      <c r="D13" s="723">
        <f t="shared" si="1"/>
        <v>432.33997531740056</v>
      </c>
      <c r="E13" s="724"/>
      <c r="F13" s="721">
        <f t="shared" si="2"/>
        <v>2248.8961523424605</v>
      </c>
      <c r="G13" s="725">
        <f>'ANNEXE 1 Grille'!B11*$H$31*60/100</f>
        <v>1916.7804440304574</v>
      </c>
      <c r="H13" s="723">
        <f t="shared" si="3"/>
        <v>332.11570831200322</v>
      </c>
    </row>
    <row r="14" spans="1:10" x14ac:dyDescent="0.25">
      <c r="A14" s="720" t="s">
        <v>70</v>
      </c>
      <c r="B14" s="721">
        <f t="shared" si="0"/>
        <v>2636.7639350174886</v>
      </c>
      <c r="C14" s="722">
        <f>'ANNEXE 1 Grille'!B12*($D$31-$C$25)</f>
        <v>2204.4239597000883</v>
      </c>
      <c r="D14" s="723">
        <f t="shared" si="1"/>
        <v>432.33997531740056</v>
      </c>
      <c r="E14" s="724"/>
      <c r="F14" s="721">
        <f t="shared" si="2"/>
        <v>2025.5141137179803</v>
      </c>
      <c r="G14" s="725">
        <f>'ANNEXE 1 Grille'!B12*$H$31*60/100</f>
        <v>1693.3984054059772</v>
      </c>
      <c r="H14" s="723">
        <f t="shared" si="3"/>
        <v>332.11570831200322</v>
      </c>
    </row>
    <row r="15" spans="1:10" x14ac:dyDescent="0.25">
      <c r="A15" s="720" t="s">
        <v>71</v>
      </c>
      <c r="B15" s="721">
        <f t="shared" si="0"/>
        <v>0</v>
      </c>
      <c r="C15" s="722"/>
      <c r="D15" s="723">
        <f t="shared" si="1"/>
        <v>0</v>
      </c>
      <c r="E15" s="724"/>
      <c r="F15" s="721">
        <f t="shared" si="2"/>
        <v>0</v>
      </c>
      <c r="G15" s="725"/>
      <c r="H15" s="723">
        <f t="shared" si="3"/>
        <v>0</v>
      </c>
    </row>
    <row r="16" spans="1:10" x14ac:dyDescent="0.25">
      <c r="A16" s="720" t="s">
        <v>72</v>
      </c>
      <c r="B16" s="721">
        <f t="shared" si="0"/>
        <v>1718.405425240041</v>
      </c>
      <c r="C16" s="722">
        <f>'ANNEXE 1 Grille'!B14*($D$31-$C$25)</f>
        <v>1286.0654499226405</v>
      </c>
      <c r="D16" s="723">
        <f t="shared" si="1"/>
        <v>432.33997531740056</v>
      </c>
      <c r="E16" s="724"/>
      <c r="F16" s="721">
        <f t="shared" si="2"/>
        <v>1320.0478039343952</v>
      </c>
      <c r="G16" s="725">
        <f>'ANNEXE 1 Grille'!B14*$H$31*60/100</f>
        <v>987.93209562239213</v>
      </c>
      <c r="H16" s="723">
        <f t="shared" si="3"/>
        <v>332.11570831200322</v>
      </c>
    </row>
    <row r="17" spans="1:18" x14ac:dyDescent="0.25">
      <c r="A17" s="720" t="s">
        <v>73</v>
      </c>
      <c r="B17" s="721">
        <f t="shared" si="0"/>
        <v>3182.0547971892656</v>
      </c>
      <c r="C17" s="722">
        <f>'ANNEXE 1 Grille'!B15*($D$31-$C$25)</f>
        <v>2749.7148218718653</v>
      </c>
      <c r="D17" s="723">
        <f t="shared" si="1"/>
        <v>432.33997531740056</v>
      </c>
      <c r="E17" s="724"/>
      <c r="F17" s="721">
        <f t="shared" si="2"/>
        <v>2444.3966396590272</v>
      </c>
      <c r="G17" s="725">
        <f>'ANNEXE 1 Grille'!B15*$H$31*60/100</f>
        <v>2112.2809313470239</v>
      </c>
      <c r="H17" s="723">
        <f t="shared" si="3"/>
        <v>332.11570831200322</v>
      </c>
    </row>
    <row r="18" spans="1:18" x14ac:dyDescent="0.25">
      <c r="A18" s="720" t="s">
        <v>74</v>
      </c>
      <c r="B18" s="721">
        <f t="shared" si="0"/>
        <v>1010.2102651247726</v>
      </c>
      <c r="C18" s="722">
        <f>'ANNEXE 1 Grille'!B16*($D$31-$C$25)</f>
        <v>577.87028980737205</v>
      </c>
      <c r="D18" s="723">
        <f t="shared" si="1"/>
        <v>432.33997531740056</v>
      </c>
      <c r="E18" s="724"/>
      <c r="F18" s="721">
        <f t="shared" si="2"/>
        <v>776.02515820948452</v>
      </c>
      <c r="G18" s="725">
        <f>'ANNEXE 1 Grille'!B16*$H$31*60/100</f>
        <v>443.90944989748124</v>
      </c>
      <c r="H18" s="723">
        <f t="shared" si="3"/>
        <v>332.11570831200322</v>
      </c>
    </row>
    <row r="19" spans="1:18" x14ac:dyDescent="0.25">
      <c r="A19" s="720" t="s">
        <v>75</v>
      </c>
      <c r="B19" s="721">
        <f t="shared" si="0"/>
        <v>1477.3782327421989</v>
      </c>
      <c r="C19" s="722">
        <f>'ANNEXE 1 Grille'!B17*($D$31-$C$25)</f>
        <v>1045.0382574247983</v>
      </c>
      <c r="D19" s="723">
        <f t="shared" si="1"/>
        <v>432.33997531740056</v>
      </c>
      <c r="E19" s="724"/>
      <c r="F19" s="721">
        <f t="shared" si="2"/>
        <v>1134.8950969701436</v>
      </c>
      <c r="G19" s="725">
        <f>'ANNEXE 1 Grille'!B17*$H$31*60/100</f>
        <v>802.77938865814053</v>
      </c>
      <c r="H19" s="723">
        <f t="shared" si="3"/>
        <v>332.11570831200322</v>
      </c>
      <c r="I19" s="456"/>
    </row>
    <row r="20" spans="1:18" x14ac:dyDescent="0.25">
      <c r="A20" s="720" t="s">
        <v>76</v>
      </c>
      <c r="B20" s="721">
        <f t="shared" si="0"/>
        <v>0</v>
      </c>
      <c r="C20" s="722"/>
      <c r="D20" s="723">
        <f t="shared" si="1"/>
        <v>0</v>
      </c>
      <c r="E20" s="724"/>
      <c r="F20" s="721">
        <f t="shared" si="2"/>
        <v>0</v>
      </c>
      <c r="G20" s="725"/>
      <c r="H20" s="723">
        <f t="shared" si="3"/>
        <v>0</v>
      </c>
    </row>
    <row r="21" spans="1:18" x14ac:dyDescent="0.25">
      <c r="A21" s="720" t="s">
        <v>77</v>
      </c>
      <c r="B21" s="721">
        <f t="shared" si="0"/>
        <v>0</v>
      </c>
      <c r="C21" s="722"/>
      <c r="D21" s="723">
        <f t="shared" si="1"/>
        <v>0</v>
      </c>
      <c r="E21" s="724"/>
      <c r="F21" s="721">
        <f t="shared" si="2"/>
        <v>0</v>
      </c>
      <c r="G21" s="725"/>
      <c r="H21" s="723">
        <f t="shared" si="3"/>
        <v>0</v>
      </c>
    </row>
    <row r="22" spans="1:18" x14ac:dyDescent="0.25">
      <c r="A22" s="720" t="s">
        <v>78</v>
      </c>
      <c r="B22" s="721">
        <f t="shared" si="0"/>
        <v>4030.6332325978447</v>
      </c>
      <c r="C22" s="722">
        <f>'ANNEXE 1 Grille'!B20*($D$31-$C$25)</f>
        <v>3598.2932572804439</v>
      </c>
      <c r="D22" s="723">
        <f t="shared" si="1"/>
        <v>432.33997531740056</v>
      </c>
      <c r="E22" s="724"/>
      <c r="F22" s="721">
        <f t="shared" si="2"/>
        <v>3096.2591650410718</v>
      </c>
      <c r="G22" s="725">
        <f>'ANNEXE 1 Grille'!B20*$H$31*60/100</f>
        <v>2764.1434567290685</v>
      </c>
      <c r="H22" s="723">
        <f t="shared" si="3"/>
        <v>332.11570831200322</v>
      </c>
    </row>
    <row r="23" spans="1:18" x14ac:dyDescent="0.25">
      <c r="A23" s="720" t="s">
        <v>79</v>
      </c>
      <c r="B23" s="721">
        <f t="shared" si="0"/>
        <v>0</v>
      </c>
      <c r="C23" s="722"/>
      <c r="D23" s="723">
        <f>IF(C23&lt;&gt;0,#REF!/D$27,C23)</f>
        <v>0</v>
      </c>
      <c r="E23" s="724"/>
      <c r="F23" s="721">
        <f t="shared" si="2"/>
        <v>0</v>
      </c>
      <c r="G23" s="725"/>
      <c r="H23" s="723">
        <f t="shared" si="3"/>
        <v>0</v>
      </c>
    </row>
    <row r="24" spans="1:18" x14ac:dyDescent="0.25">
      <c r="A24" s="720" t="s">
        <v>80</v>
      </c>
      <c r="B24" s="721">
        <f t="shared" si="0"/>
        <v>0</v>
      </c>
      <c r="C24" s="722">
        <v>0</v>
      </c>
      <c r="D24" s="723"/>
      <c r="E24" s="724"/>
      <c r="F24" s="721">
        <f t="shared" si="2"/>
        <v>0</v>
      </c>
      <c r="G24" s="725"/>
      <c r="H24" s="727"/>
    </row>
    <row r="25" spans="1:18" x14ac:dyDescent="0.25">
      <c r="A25" s="483" t="s">
        <v>188</v>
      </c>
      <c r="B25" s="503">
        <f t="shared" si="0"/>
        <v>22659.917510311214</v>
      </c>
      <c r="C25" s="504">
        <f>D31*40/100</f>
        <v>22659.917510311214</v>
      </c>
      <c r="D25" s="500"/>
      <c r="E25" s="505"/>
      <c r="F25" s="503">
        <f t="shared" si="2"/>
        <v>17406.936632920886</v>
      </c>
      <c r="G25" s="506">
        <f>H31*40/100</f>
        <v>17406.936632920886</v>
      </c>
      <c r="H25" s="500"/>
    </row>
    <row r="26" spans="1:18" ht="45" x14ac:dyDescent="0.25">
      <c r="A26" s="491" t="s">
        <v>189</v>
      </c>
      <c r="B26" s="507">
        <f>SUM(B4:B25)</f>
        <v>56649.793775778031</v>
      </c>
      <c r="C26" s="507">
        <f>SUM(C4:C25)</f>
        <v>51029.374096651823</v>
      </c>
      <c r="D26" s="508">
        <f>SUM(D4:D25)</f>
        <v>5620.4196791262093</v>
      </c>
      <c r="E26" s="509"/>
      <c r="F26" s="502">
        <f>SUM(F4:F25)</f>
        <v>43517.341582302215</v>
      </c>
      <c r="G26" s="510">
        <f>SUM(G4:G25)</f>
        <v>39199.83737424617</v>
      </c>
      <c r="H26" s="494">
        <f>SUM(H4:H25)</f>
        <v>4317.5042080560424</v>
      </c>
      <c r="J26" s="328">
        <f>F26-F25</f>
        <v>26110.404949381329</v>
      </c>
    </row>
    <row r="27" spans="1:18" s="458" customFormat="1" ht="14.25" customHeight="1" x14ac:dyDescent="0.2">
      <c r="A27" s="511" t="s">
        <v>240</v>
      </c>
      <c r="B27" s="512">
        <f>D31</f>
        <v>56649.793775778031</v>
      </c>
      <c r="C27" s="513"/>
      <c r="D27" s="514">
        <f>(D31-C25-C24)-SUM(C4:C23)</f>
        <v>5620.4196791262075</v>
      </c>
      <c r="E27" s="515"/>
      <c r="F27" s="516"/>
      <c r="G27" s="516"/>
      <c r="H27" s="517">
        <f>(H31-G25-G24)-SUM(G4:G23)</f>
        <v>4317.5042080560415</v>
      </c>
    </row>
    <row r="28" spans="1:18" x14ac:dyDescent="0.25">
      <c r="A28" s="271"/>
      <c r="B28" s="264"/>
      <c r="C28" s="264"/>
      <c r="D28" s="264"/>
      <c r="F28" s="264"/>
      <c r="G28" s="264"/>
      <c r="H28" s="264"/>
      <c r="I28" s="264"/>
      <c r="J28" s="264"/>
      <c r="L28" s="264"/>
      <c r="M28" s="264"/>
      <c r="N28" s="264"/>
      <c r="O28" s="264"/>
      <c r="P28" s="264"/>
      <c r="R28" s="264"/>
    </row>
    <row r="29" spans="1:18" ht="15" customHeight="1" x14ac:dyDescent="0.25">
      <c r="B29" s="939" t="s">
        <v>302</v>
      </c>
      <c r="C29" s="939"/>
      <c r="D29" s="459">
        <f>SUBTOTAL(3,C4:C23)</f>
        <v>13</v>
      </c>
      <c r="F29" s="939" t="s">
        <v>302</v>
      </c>
      <c r="G29" s="939"/>
      <c r="H29" s="459">
        <f>SUBTOTAL(3,G4:G24)</f>
        <v>13</v>
      </c>
    </row>
    <row r="30" spans="1:18" ht="15" customHeight="1" x14ac:dyDescent="0.25">
      <c r="B30" s="896" t="s">
        <v>242</v>
      </c>
      <c r="C30" s="896"/>
      <c r="D30" s="896"/>
      <c r="F30" s="896" t="s">
        <v>242</v>
      </c>
      <c r="G30" s="896"/>
      <c r="H30" s="896"/>
    </row>
    <row r="31" spans="1:18" ht="15" customHeight="1" x14ac:dyDescent="0.25">
      <c r="B31" s="903" t="s">
        <v>319</v>
      </c>
      <c r="C31" s="903"/>
      <c r="D31" s="490">
        <f>D33*D35</f>
        <v>56649.793775778031</v>
      </c>
      <c r="F31" s="903" t="s">
        <v>319</v>
      </c>
      <c r="G31" s="903"/>
      <c r="H31" s="518">
        <f>H33*H35</f>
        <v>43517.341582302215</v>
      </c>
    </row>
    <row r="32" spans="1:18" ht="15" customHeight="1" x14ac:dyDescent="0.25">
      <c r="B32" s="903" t="s">
        <v>245</v>
      </c>
      <c r="C32" s="903"/>
      <c r="D32" s="480">
        <f>D31</f>
        <v>56649.793775778031</v>
      </c>
      <c r="F32" s="903" t="s">
        <v>245</v>
      </c>
      <c r="G32" s="903"/>
      <c r="H32" s="482">
        <f>H31</f>
        <v>43517.341582302215</v>
      </c>
    </row>
    <row r="33" spans="2:8" ht="15" customHeight="1" x14ac:dyDescent="0.25">
      <c r="B33" s="901" t="s">
        <v>305</v>
      </c>
      <c r="C33" s="901"/>
      <c r="D33" s="490">
        <v>55000</v>
      </c>
      <c r="F33" s="901" t="s">
        <v>305</v>
      </c>
      <c r="G33" s="901"/>
      <c r="H33" s="482">
        <v>42250</v>
      </c>
    </row>
    <row r="34" spans="2:8" ht="15" customHeight="1" x14ac:dyDescent="0.25">
      <c r="B34" s="901" t="s">
        <v>247</v>
      </c>
      <c r="C34" s="901"/>
      <c r="D34" s="480">
        <f>D33</f>
        <v>55000</v>
      </c>
      <c r="F34" s="901" t="s">
        <v>247</v>
      </c>
      <c r="G34" s="901"/>
      <c r="H34" s="479">
        <f>H33</f>
        <v>42250</v>
      </c>
    </row>
    <row r="35" spans="2:8" ht="15" customHeight="1" x14ac:dyDescent="0.25">
      <c r="B35" s="938" t="s">
        <v>427</v>
      </c>
      <c r="C35" s="938"/>
      <c r="D35" s="501">
        <f>2747/2667</f>
        <v>1.0299962504686915</v>
      </c>
      <c r="F35" s="901" t="s">
        <v>427</v>
      </c>
      <c r="G35" s="901"/>
      <c r="H35" s="519">
        <f>2747/2667</f>
        <v>1.0299962504686915</v>
      </c>
    </row>
    <row r="37" spans="2:8" x14ac:dyDescent="0.25">
      <c r="F37" s="328"/>
    </row>
  </sheetData>
  <mergeCells count="19">
    <mergeCell ref="A1:A3"/>
    <mergeCell ref="B1:D1"/>
    <mergeCell ref="F1:H1"/>
    <mergeCell ref="B2:D2"/>
    <mergeCell ref="F2:H2"/>
    <mergeCell ref="B29:C29"/>
    <mergeCell ref="F29:G29"/>
    <mergeCell ref="B30:D30"/>
    <mergeCell ref="F30:H30"/>
    <mergeCell ref="B31:C31"/>
    <mergeCell ref="F31:G31"/>
    <mergeCell ref="B35:C35"/>
    <mergeCell ref="F35:G35"/>
    <mergeCell ref="B32:C32"/>
    <mergeCell ref="F32:G32"/>
    <mergeCell ref="B33:C33"/>
    <mergeCell ref="F33:G33"/>
    <mergeCell ref="B34:C34"/>
    <mergeCell ref="F34:G34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31"/>
  <sheetViews>
    <sheetView workbookViewId="0">
      <selection activeCell="J9" sqref="J9"/>
    </sheetView>
  </sheetViews>
  <sheetFormatPr baseColWidth="10" defaultColWidth="9.140625" defaultRowHeight="15" x14ac:dyDescent="0.25"/>
  <cols>
    <col min="1" max="2" width="9.140625" style="25"/>
    <col min="3" max="3" width="15.7109375" style="25" bestFit="1" customWidth="1"/>
    <col min="4" max="4" width="13.85546875" bestFit="1" customWidth="1"/>
  </cols>
  <sheetData>
    <row r="1" spans="1:12" s="25" customFormat="1" x14ac:dyDescent="0.25">
      <c r="B1" s="206" t="s">
        <v>298</v>
      </c>
      <c r="C1" s="206" t="s">
        <v>299</v>
      </c>
      <c r="D1" s="206" t="s">
        <v>300</v>
      </c>
    </row>
    <row r="2" spans="1:12" s="25" customFormat="1" x14ac:dyDescent="0.25">
      <c r="A2" s="206" t="s">
        <v>60</v>
      </c>
      <c r="B2" s="207">
        <f>C2+D2</f>
        <v>1099.8139208583464</v>
      </c>
      <c r="C2" s="207">
        <f>$B$25*'ANNEXE 1 Grille'!B2</f>
        <v>714.84062219277985</v>
      </c>
      <c r="D2" s="208">
        <f>IF(C2&lt;&gt;0,$C$24/$C$26,C2)</f>
        <v>384.97329866556657</v>
      </c>
    </row>
    <row r="3" spans="1:12" ht="15" customHeight="1" x14ac:dyDescent="0.25">
      <c r="A3" s="206" t="s">
        <v>61</v>
      </c>
      <c r="B3" s="208">
        <f t="shared" ref="B3:B23" si="0">C3+D3</f>
        <v>0</v>
      </c>
      <c r="C3" s="207"/>
      <c r="D3" s="208">
        <f t="shared" ref="D3:D23" si="1">IF(C3&lt;&gt;0,$C$24/$C$26,C3)</f>
        <v>0</v>
      </c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06" t="s">
        <v>62</v>
      </c>
      <c r="B4" s="208">
        <f t="shared" si="0"/>
        <v>612.91676275943269</v>
      </c>
      <c r="C4" s="207">
        <f>$B$25*'ANNEXE 1 Grille'!B4</f>
        <v>227.94346409386611</v>
      </c>
      <c r="D4" s="208">
        <f t="shared" si="1"/>
        <v>384.97329866556657</v>
      </c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s="206" t="s">
        <v>63</v>
      </c>
      <c r="B5" s="208">
        <f t="shared" si="0"/>
        <v>2940.8949562702751</v>
      </c>
      <c r="C5" s="207">
        <f>$B$25*'ANNEXE 1 Grille'!B5</f>
        <v>2555.9216576047083</v>
      </c>
      <c r="D5" s="208">
        <f t="shared" si="1"/>
        <v>384.97329866556657</v>
      </c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06" t="s">
        <v>64</v>
      </c>
      <c r="B6" s="208">
        <f t="shared" si="0"/>
        <v>1622.8176307728445</v>
      </c>
      <c r="C6" s="207">
        <f>$B$25*'ANNEXE 1 Grille'!B6</f>
        <v>1237.844332107278</v>
      </c>
      <c r="D6" s="208">
        <f t="shared" si="1"/>
        <v>384.97329866556657</v>
      </c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206" t="s">
        <v>65</v>
      </c>
      <c r="B7" s="208">
        <f t="shared" si="0"/>
        <v>455.6395277308863</v>
      </c>
      <c r="C7" s="207">
        <f>$B$25*'ANNEXE 1 Grille'!B7</f>
        <v>70.66622906531974</v>
      </c>
      <c r="D7" s="208">
        <f t="shared" si="1"/>
        <v>384.97329866556657</v>
      </c>
      <c r="E7" s="25"/>
      <c r="F7" s="25"/>
      <c r="G7" s="25"/>
      <c r="H7" s="25"/>
      <c r="I7" s="25"/>
      <c r="J7" s="25"/>
      <c r="K7" s="25"/>
      <c r="L7" s="25"/>
    </row>
    <row r="8" spans="1:12" x14ac:dyDescent="0.25">
      <c r="A8" s="206" t="s">
        <v>66</v>
      </c>
      <c r="B8" s="208">
        <f t="shared" si="0"/>
        <v>0</v>
      </c>
      <c r="C8" s="207"/>
      <c r="D8" s="208">
        <f t="shared" si="1"/>
        <v>0</v>
      </c>
      <c r="E8" s="25"/>
      <c r="F8" s="25"/>
      <c r="G8" s="25"/>
      <c r="H8" s="25"/>
      <c r="I8" s="25"/>
      <c r="J8" s="25"/>
      <c r="K8" s="25"/>
      <c r="L8" s="25"/>
    </row>
    <row r="9" spans="1:12" x14ac:dyDescent="0.25">
      <c r="A9" s="206" t="s">
        <v>67</v>
      </c>
      <c r="B9" s="208">
        <f t="shared" si="0"/>
        <v>0</v>
      </c>
      <c r="C9" s="207"/>
      <c r="D9" s="208">
        <f t="shared" si="1"/>
        <v>0</v>
      </c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206" t="s">
        <v>68</v>
      </c>
      <c r="B10" s="208">
        <f t="shared" si="0"/>
        <v>2800.3131881985514</v>
      </c>
      <c r="C10" s="207">
        <f>$B$25*'ANNEXE 1 Grille'!B10</f>
        <v>2415.3398895329847</v>
      </c>
      <c r="D10" s="208">
        <f t="shared" si="1"/>
        <v>384.97329866556657</v>
      </c>
      <c r="E10" s="25"/>
      <c r="F10" s="25"/>
      <c r="G10" s="25"/>
      <c r="H10" s="25"/>
      <c r="I10" s="25"/>
      <c r="J10" s="25"/>
      <c r="K10" s="25"/>
      <c r="L10" s="25"/>
    </row>
    <row r="11" spans="1:12" x14ac:dyDescent="0.25">
      <c r="A11" s="206" t="s">
        <v>69</v>
      </c>
      <c r="B11" s="208">
        <f t="shared" si="0"/>
        <v>1635.3760161440775</v>
      </c>
      <c r="C11" s="207">
        <f>$B$25*'ANNEXE 1 Grille'!B11</f>
        <v>1250.402717478511</v>
      </c>
      <c r="D11" s="208">
        <f t="shared" si="1"/>
        <v>384.97329866556657</v>
      </c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s="206" t="s">
        <v>70</v>
      </c>
      <c r="B12" s="208">
        <f t="shared" si="0"/>
        <v>1489.6537927137233</v>
      </c>
      <c r="C12" s="207">
        <f>$B$25*'ANNEXE 1 Grille'!B12</f>
        <v>1104.6804940481568</v>
      </c>
      <c r="D12" s="208">
        <f t="shared" si="1"/>
        <v>384.97329866556657</v>
      </c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206" t="s">
        <v>71</v>
      </c>
      <c r="B13" s="208">
        <f t="shared" si="0"/>
        <v>0</v>
      </c>
      <c r="C13" s="207"/>
      <c r="D13" s="208">
        <f t="shared" si="1"/>
        <v>0</v>
      </c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206" t="s">
        <v>72</v>
      </c>
      <c r="B14" s="208">
        <f t="shared" si="0"/>
        <v>1029.4461598624175</v>
      </c>
      <c r="C14" s="207">
        <f>$B$25*'ANNEXE 1 Grille'!B14</f>
        <v>644.472861196851</v>
      </c>
      <c r="D14" s="208">
        <f t="shared" si="1"/>
        <v>384.97329866556657</v>
      </c>
      <c r="E14" s="25"/>
      <c r="F14" s="25"/>
      <c r="G14" s="25"/>
      <c r="H14" s="25"/>
      <c r="I14" s="25"/>
      <c r="J14" s="25"/>
      <c r="K14" s="25"/>
      <c r="L14" s="25"/>
    </row>
    <row r="15" spans="1:12" x14ac:dyDescent="0.25">
      <c r="A15" s="206" t="s">
        <v>73</v>
      </c>
      <c r="B15" s="208">
        <f t="shared" si="0"/>
        <v>1762.9098405684276</v>
      </c>
      <c r="C15" s="207">
        <f>$B$25*'ANNEXE 1 Grille'!B15</f>
        <v>1377.9365419028611</v>
      </c>
      <c r="D15" s="208">
        <f t="shared" si="1"/>
        <v>384.97329866556657</v>
      </c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206" t="s">
        <v>74</v>
      </c>
      <c r="B16" s="208">
        <f t="shared" si="0"/>
        <v>674.55554278480054</v>
      </c>
      <c r="C16" s="207">
        <f>$B$25*'ANNEXE 1 Grille'!B16</f>
        <v>289.58224411923396</v>
      </c>
      <c r="D16" s="208">
        <f t="shared" si="1"/>
        <v>384.97329866556657</v>
      </c>
      <c r="E16" s="25"/>
      <c r="F16" s="25"/>
      <c r="G16" s="25"/>
      <c r="H16" s="25"/>
      <c r="I16" s="25"/>
      <c r="J16" s="25"/>
      <c r="K16" s="25"/>
      <c r="L16" s="25"/>
    </row>
    <row r="17" spans="1:12" x14ac:dyDescent="0.25">
      <c r="A17" s="206" t="s">
        <v>75</v>
      </c>
      <c r="B17" s="208">
        <f t="shared" si="0"/>
        <v>908.66266133621707</v>
      </c>
      <c r="C17" s="207">
        <f>$B$25*'ANNEXE 1 Grille'!B17</f>
        <v>523.68936267065055</v>
      </c>
      <c r="D17" s="208">
        <f t="shared" si="1"/>
        <v>384.97329866556657</v>
      </c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206" t="s">
        <v>76</v>
      </c>
      <c r="B18" s="208">
        <f t="shared" si="0"/>
        <v>0</v>
      </c>
      <c r="C18" s="207"/>
      <c r="D18" s="208">
        <f t="shared" si="1"/>
        <v>0</v>
      </c>
      <c r="E18" s="25"/>
      <c r="F18" s="25"/>
      <c r="G18" s="25"/>
      <c r="H18" s="25"/>
      <c r="I18" s="25"/>
      <c r="J18" s="25"/>
      <c r="K18" s="25"/>
      <c r="L18" s="25"/>
    </row>
    <row r="19" spans="1:12" x14ac:dyDescent="0.25">
      <c r="A19" s="206" t="s">
        <v>77</v>
      </c>
      <c r="B19" s="208">
        <f t="shared" si="0"/>
        <v>0</v>
      </c>
      <c r="C19" s="207"/>
      <c r="D19" s="208">
        <f t="shared" si="1"/>
        <v>0</v>
      </c>
      <c r="E19" s="25"/>
      <c r="F19" s="25"/>
      <c r="G19" s="25"/>
      <c r="H19" s="25"/>
      <c r="I19" s="25"/>
      <c r="J19" s="25"/>
      <c r="K19" s="25"/>
      <c r="L19" s="25"/>
    </row>
    <row r="20" spans="1:12" x14ac:dyDescent="0.25">
      <c r="A20" s="206" t="s">
        <v>78</v>
      </c>
      <c r="B20" s="208">
        <f t="shared" si="0"/>
        <v>0</v>
      </c>
      <c r="C20" s="207"/>
      <c r="D20" s="208">
        <f t="shared" si="1"/>
        <v>0</v>
      </c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206" t="s">
        <v>79</v>
      </c>
      <c r="B21" s="208">
        <f t="shared" si="0"/>
        <v>0</v>
      </c>
      <c r="C21" s="207"/>
      <c r="D21" s="208">
        <f t="shared" si="1"/>
        <v>0</v>
      </c>
      <c r="E21" s="25"/>
      <c r="F21" s="25"/>
      <c r="G21" s="25"/>
      <c r="H21" s="25"/>
      <c r="I21" s="25"/>
      <c r="J21" s="25"/>
      <c r="K21" s="25"/>
      <c r="L21" s="25"/>
    </row>
    <row r="22" spans="1:12" x14ac:dyDescent="0.25">
      <c r="A22" s="209" t="s">
        <v>80</v>
      </c>
      <c r="B22" s="208">
        <f t="shared" si="0"/>
        <v>0</v>
      </c>
      <c r="C22" s="207"/>
      <c r="D22" s="208">
        <f t="shared" si="1"/>
        <v>0</v>
      </c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s="545" t="s">
        <v>81</v>
      </c>
      <c r="B23" s="208">
        <f t="shared" si="0"/>
        <v>0</v>
      </c>
      <c r="C23" s="546"/>
      <c r="D23" s="208">
        <f t="shared" si="1"/>
        <v>0</v>
      </c>
      <c r="E23" s="25"/>
      <c r="F23" s="25"/>
      <c r="G23" s="25"/>
      <c r="H23" s="25"/>
      <c r="I23" s="25"/>
      <c r="J23" s="25"/>
      <c r="K23" s="25"/>
      <c r="L23" s="25"/>
    </row>
    <row r="24" spans="1:12" x14ac:dyDescent="0.25">
      <c r="A24" s="211" t="s">
        <v>82</v>
      </c>
      <c r="B24" s="572">
        <f>SUM(B2:B23)</f>
        <v>17033</v>
      </c>
      <c r="C24" s="573">
        <f>B25-SUM(C2:C23)</f>
        <v>4619.6795839867991</v>
      </c>
      <c r="D24" s="212"/>
      <c r="E24" s="25"/>
      <c r="F24" s="25"/>
      <c r="G24" s="25"/>
      <c r="H24" s="25"/>
      <c r="I24" s="25"/>
      <c r="J24" s="25"/>
      <c r="K24" s="25"/>
      <c r="L24" s="25"/>
    </row>
    <row r="25" spans="1:12" ht="34.5" x14ac:dyDescent="0.25">
      <c r="A25" s="214" t="s">
        <v>82</v>
      </c>
      <c r="B25" s="216">
        <v>17033</v>
      </c>
      <c r="C25" s="216"/>
      <c r="D25" s="216"/>
      <c r="E25" s="25"/>
      <c r="F25" s="25"/>
      <c r="G25" s="25"/>
      <c r="H25" s="25"/>
      <c r="I25" s="25"/>
      <c r="J25" s="25"/>
      <c r="K25" s="25"/>
      <c r="L25" s="25"/>
    </row>
    <row r="26" spans="1:12" ht="23.25" x14ac:dyDescent="0.25">
      <c r="A26" s="214" t="s">
        <v>83</v>
      </c>
      <c r="B26" s="552">
        <f>B24-B25</f>
        <v>0</v>
      </c>
      <c r="C26" s="571">
        <f>COUNTA(C2:C23)</f>
        <v>12</v>
      </c>
      <c r="D26" s="552"/>
      <c r="E26" s="25"/>
      <c r="F26" s="25"/>
      <c r="G26" s="25"/>
      <c r="H26" s="25"/>
      <c r="I26" s="25"/>
      <c r="J26" s="25"/>
      <c r="K26" s="25"/>
      <c r="L26" s="25"/>
    </row>
    <row r="27" spans="1:12" x14ac:dyDescent="0.25"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5"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5"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5"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5">
      <c r="D31" s="25"/>
      <c r="E31" s="25"/>
      <c r="F31" s="25"/>
      <c r="G31" s="25"/>
      <c r="H31" s="25"/>
      <c r="I31" s="25"/>
      <c r="J31" s="25"/>
      <c r="K31" s="25"/>
      <c r="L31" s="2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R31"/>
  <sheetViews>
    <sheetView workbookViewId="0">
      <selection activeCell="T15" sqref="T15"/>
    </sheetView>
  </sheetViews>
  <sheetFormatPr baseColWidth="10" defaultColWidth="9.140625" defaultRowHeight="15" x14ac:dyDescent="0.25"/>
  <cols>
    <col min="1" max="1" width="13" style="188" customWidth="1"/>
    <col min="2" max="2" width="10.42578125" style="188" customWidth="1"/>
    <col min="3" max="3" width="9.42578125" style="188" customWidth="1"/>
    <col min="4" max="5" width="6.85546875" style="188" customWidth="1"/>
    <col min="6" max="6" width="14" style="188" customWidth="1"/>
    <col min="7" max="7" width="10" style="188" customWidth="1"/>
    <col min="8" max="8" width="8.85546875" style="188" customWidth="1"/>
    <col min="9" max="9" width="13" style="188" customWidth="1"/>
    <col min="10" max="10" width="9.85546875" style="188" customWidth="1"/>
    <col min="11" max="11" width="13.5703125" style="188" customWidth="1"/>
    <col min="12" max="12" width="9.85546875" style="188" bestFit="1" customWidth="1"/>
    <col min="13" max="14" width="5.42578125" style="188" customWidth="1"/>
    <col min="15" max="15" width="10.42578125" style="188" bestFit="1" customWidth="1"/>
    <col min="16" max="17" width="6.85546875" style="188" customWidth="1"/>
    <col min="18" max="16384" width="9.140625" style="188"/>
  </cols>
  <sheetData>
    <row r="1" spans="1:18" ht="21.75" customHeight="1" x14ac:dyDescent="0.25">
      <c r="A1" s="697" t="s">
        <v>234</v>
      </c>
      <c r="B1" s="702"/>
      <c r="C1" s="943" t="s">
        <v>87</v>
      </c>
      <c r="D1" s="943"/>
      <c r="E1" s="943"/>
      <c r="F1" s="943" t="s">
        <v>428</v>
      </c>
      <c r="G1" s="943"/>
      <c r="H1" s="943"/>
      <c r="I1" s="943" t="s">
        <v>86</v>
      </c>
      <c r="J1" s="943"/>
      <c r="K1" s="943"/>
      <c r="L1" s="943" t="s">
        <v>89</v>
      </c>
      <c r="M1" s="943"/>
      <c r="N1" s="943"/>
      <c r="O1" s="944" t="s">
        <v>90</v>
      </c>
      <c r="P1" s="944"/>
      <c r="Q1" s="944"/>
    </row>
    <row r="2" spans="1:18" x14ac:dyDescent="0.25">
      <c r="A2" s="241" t="s">
        <v>60</v>
      </c>
      <c r="B2" s="460">
        <f t="shared" ref="B2:B24" si="0">C2+F2+I2+L2+O2</f>
        <v>0</v>
      </c>
      <c r="C2" s="461">
        <f t="shared" ref="C2:C23" si="1">D2+E2</f>
        <v>0</v>
      </c>
      <c r="D2" s="462"/>
      <c r="E2" s="461">
        <f>IF(D2&lt;&gt;0,E$26/#REF!,D2)</f>
        <v>0</v>
      </c>
      <c r="F2" s="461">
        <f t="shared" ref="F2:F23" si="2">G2+H2</f>
        <v>0</v>
      </c>
      <c r="G2" s="462"/>
      <c r="H2" s="461">
        <f>IF(G2&lt;&gt;0,H$26/#REF!,G2)</f>
        <v>0</v>
      </c>
      <c r="I2" s="461">
        <f t="shared" ref="I2:I23" si="3">J2+K2</f>
        <v>0</v>
      </c>
      <c r="J2" s="462"/>
      <c r="K2" s="461">
        <f>IF(J2&lt;&gt;0,K$26/#REF!,J2)</f>
        <v>0</v>
      </c>
      <c r="L2" s="461">
        <f t="shared" ref="L2:L23" si="4">M2+N2</f>
        <v>0</v>
      </c>
      <c r="M2" s="462"/>
      <c r="N2" s="461">
        <f>IF(M2&lt;&gt;0,N$26/#REF!,M2)</f>
        <v>0</v>
      </c>
      <c r="O2" s="791">
        <f t="shared" ref="O2:O23" si="5">P2+Q2</f>
        <v>0</v>
      </c>
      <c r="P2" s="792"/>
      <c r="Q2" s="791">
        <f>IF(P2&lt;&gt;0,Q$26/#REF!,P2)</f>
        <v>0</v>
      </c>
    </row>
    <row r="3" spans="1:18" x14ac:dyDescent="0.25">
      <c r="A3" s="241" t="s">
        <v>61</v>
      </c>
      <c r="B3" s="460">
        <f t="shared" si="0"/>
        <v>0</v>
      </c>
      <c r="C3" s="461">
        <f t="shared" si="1"/>
        <v>0</v>
      </c>
      <c r="D3" s="462"/>
      <c r="E3" s="461">
        <f>IF(D3&lt;&gt;0,E$26/#REF!,D3)</f>
        <v>0</v>
      </c>
      <c r="F3" s="461">
        <f t="shared" si="2"/>
        <v>0</v>
      </c>
      <c r="G3" s="462"/>
      <c r="H3" s="461">
        <f>IF(G3&lt;&gt;0,H$26/#REF!,G3)</f>
        <v>0</v>
      </c>
      <c r="I3" s="461">
        <f t="shared" si="3"/>
        <v>0</v>
      </c>
      <c r="J3" s="462"/>
      <c r="K3" s="461">
        <f>IF(J3&lt;&gt;0,K$26/#REF!,J3)</f>
        <v>0</v>
      </c>
      <c r="L3" s="461">
        <f t="shared" si="4"/>
        <v>0</v>
      </c>
      <c r="M3" s="462"/>
      <c r="N3" s="461">
        <f>IF(M3&lt;&gt;0,N$26/#REF!,M3)</f>
        <v>0</v>
      </c>
      <c r="O3" s="791">
        <f t="shared" si="5"/>
        <v>0</v>
      </c>
      <c r="P3" s="792"/>
      <c r="Q3" s="791">
        <f>IF(P3&lt;&gt;0,Q$26/#REF!,P3)</f>
        <v>0</v>
      </c>
    </row>
    <row r="4" spans="1:18" x14ac:dyDescent="0.25">
      <c r="A4" s="241" t="s">
        <v>174</v>
      </c>
      <c r="B4" s="460">
        <f t="shared" si="0"/>
        <v>0</v>
      </c>
      <c r="C4" s="461">
        <f t="shared" si="1"/>
        <v>0</v>
      </c>
      <c r="D4" s="462"/>
      <c r="E4" s="461">
        <f>IF(D4&lt;&gt;0,E$26/#REF!,D4)</f>
        <v>0</v>
      </c>
      <c r="F4" s="461">
        <f t="shared" si="2"/>
        <v>0</v>
      </c>
      <c r="G4" s="462"/>
      <c r="H4" s="461">
        <f>IF(G4&lt;&gt;0,H$26/#REF!,G4)</f>
        <v>0</v>
      </c>
      <c r="I4" s="461">
        <f t="shared" si="3"/>
        <v>0</v>
      </c>
      <c r="J4" s="462"/>
      <c r="K4" s="461">
        <f>IF(J4&lt;&gt;0,K$26/#REF!,J4)</f>
        <v>0</v>
      </c>
      <c r="L4" s="461">
        <f t="shared" si="4"/>
        <v>0</v>
      </c>
      <c r="M4" s="462"/>
      <c r="N4" s="461">
        <f>IF(M4&lt;&gt;0,N$26/#REF!,M4)</f>
        <v>0</v>
      </c>
      <c r="O4" s="791">
        <f t="shared" si="5"/>
        <v>0</v>
      </c>
      <c r="P4" s="792"/>
      <c r="Q4" s="791">
        <f>IF(P4&lt;&gt;0,Q$26/#REF!,P4)</f>
        <v>0</v>
      </c>
    </row>
    <row r="5" spans="1:18" x14ac:dyDescent="0.25">
      <c r="A5" s="241" t="s">
        <v>63</v>
      </c>
      <c r="B5" s="373">
        <f t="shared" si="0"/>
        <v>2834.7556364723691</v>
      </c>
      <c r="C5" s="372">
        <f t="shared" si="1"/>
        <v>1806.9143193318482</v>
      </c>
      <c r="D5" s="462">
        <f>'ANNEXE 1 Grille'!B5*(D$26-D$23)</f>
        <v>1410.5362285847625</v>
      </c>
      <c r="E5" s="372">
        <f t="shared" ref="E5:E21" si="6">IF(D5&lt;&gt;0,E$26/D$28,D5)</f>
        <v>396.37809074708559</v>
      </c>
      <c r="F5" s="372">
        <f t="shared" si="2"/>
        <v>0</v>
      </c>
      <c r="G5" s="372"/>
      <c r="H5" s="372">
        <f t="shared" ref="H5:H21" si="7">IF(G5&lt;&gt;0,H$26/G$28,G5)</f>
        <v>0</v>
      </c>
      <c r="I5" s="372">
        <f t="shared" si="3"/>
        <v>0</v>
      </c>
      <c r="J5" s="372"/>
      <c r="K5" s="372">
        <f t="shared" ref="K5:K21" si="8">IF(J5&lt;&gt;0,K$26/J$28,J5)</f>
        <v>0</v>
      </c>
      <c r="L5" s="372">
        <f t="shared" si="4"/>
        <v>94.166010940753623</v>
      </c>
      <c r="M5" s="372">
        <f>'ANNEXE 1 Grille'!B5*(M$26-M$23)</f>
        <v>67.52567051735565</v>
      </c>
      <c r="N5" s="372">
        <f t="shared" ref="N5:N21" si="9">IF(M5&lt;&gt;0,N$26/M$28,M5)</f>
        <v>26.640340423397976</v>
      </c>
      <c r="O5" s="793">
        <f t="shared" si="5"/>
        <v>933.67530619976719</v>
      </c>
      <c r="P5" s="793">
        <f>'ANNEXE 1 Grille'!B5*(P$26-P$23)</f>
        <v>570.21677325766996</v>
      </c>
      <c r="Q5" s="793">
        <f t="shared" ref="Q5:Q21" si="10">IF(P5&lt;&gt;0,Q$26/P$28,P5)</f>
        <v>363.45853294209718</v>
      </c>
      <c r="R5" s="237" t="s">
        <v>444</v>
      </c>
    </row>
    <row r="6" spans="1:18" x14ac:dyDescent="0.25">
      <c r="A6" s="241" t="s">
        <v>64</v>
      </c>
      <c r="B6" s="373">
        <f t="shared" si="0"/>
        <v>2003.5805024840545</v>
      </c>
      <c r="C6" s="372">
        <f t="shared" si="1"/>
        <v>1079.5071180357847</v>
      </c>
      <c r="D6" s="462">
        <f>'ANNEXE 1 Grille'!B6*(D$26-D$23)</f>
        <v>683.12902728869915</v>
      </c>
      <c r="E6" s="372">
        <f t="shared" si="6"/>
        <v>396.37809074708559</v>
      </c>
      <c r="F6" s="372">
        <f t="shared" si="2"/>
        <v>200.1004291443129</v>
      </c>
      <c r="G6" s="372">
        <f>'ANNEXE 1 Grille'!B6*(G$26-G$23)</f>
        <v>87.207960930472225</v>
      </c>
      <c r="H6" s="372">
        <f t="shared" si="7"/>
        <v>112.89246821384067</v>
      </c>
      <c r="I6" s="372">
        <f t="shared" si="3"/>
        <v>25.012553643039112</v>
      </c>
      <c r="J6" s="372">
        <f>'ANNEXE 1 Grille'!B6*(J$26-J$23)</f>
        <v>10.900995116309028</v>
      </c>
      <c r="K6" s="372">
        <f t="shared" si="8"/>
        <v>14.111558526730084</v>
      </c>
      <c r="L6" s="372">
        <f t="shared" si="4"/>
        <v>59.343325772325059</v>
      </c>
      <c r="M6" s="372">
        <f>'ANNEXE 1 Grille'!B6*(M$26-M$23)</f>
        <v>32.702985348927086</v>
      </c>
      <c r="N6" s="372">
        <f t="shared" si="9"/>
        <v>26.640340423397976</v>
      </c>
      <c r="O6" s="793">
        <f t="shared" si="5"/>
        <v>639.61707588859258</v>
      </c>
      <c r="P6" s="793">
        <f>'ANNEXE 1 Grille'!B6*(P$26-P$23)</f>
        <v>276.1585429464954</v>
      </c>
      <c r="Q6" s="793">
        <f t="shared" si="10"/>
        <v>363.45853294209718</v>
      </c>
      <c r="R6" s="237"/>
    </row>
    <row r="7" spans="1:18" x14ac:dyDescent="0.25">
      <c r="A7" s="241" t="s">
        <v>65</v>
      </c>
      <c r="B7" s="373">
        <f t="shared" si="0"/>
        <v>435.37665548694383</v>
      </c>
      <c r="C7" s="372">
        <f t="shared" si="1"/>
        <v>435.37665548694383</v>
      </c>
      <c r="D7" s="462">
        <f>'ANNEXE 1 Grille'!B7*(D$26-D$23)</f>
        <v>38.998564739858246</v>
      </c>
      <c r="E7" s="372">
        <f t="shared" si="6"/>
        <v>396.37809074708559</v>
      </c>
      <c r="F7" s="372">
        <f t="shared" si="2"/>
        <v>0</v>
      </c>
      <c r="G7" s="372"/>
      <c r="H7" s="372">
        <f t="shared" si="7"/>
        <v>0</v>
      </c>
      <c r="I7" s="372">
        <f t="shared" si="3"/>
        <v>0</v>
      </c>
      <c r="J7" s="372"/>
      <c r="K7" s="372">
        <f t="shared" si="8"/>
        <v>0</v>
      </c>
      <c r="L7" s="372">
        <f t="shared" si="4"/>
        <v>0</v>
      </c>
      <c r="M7" s="372"/>
      <c r="N7" s="372">
        <f t="shared" si="9"/>
        <v>0</v>
      </c>
      <c r="O7" s="793">
        <f t="shared" si="5"/>
        <v>0</v>
      </c>
      <c r="P7" s="793"/>
      <c r="Q7" s="793">
        <f t="shared" si="10"/>
        <v>0</v>
      </c>
      <c r="R7" s="237"/>
    </row>
    <row r="8" spans="1:18" x14ac:dyDescent="0.25">
      <c r="A8" s="241" t="s">
        <v>66</v>
      </c>
      <c r="B8" s="373">
        <f t="shared" si="0"/>
        <v>438.68970069387922</v>
      </c>
      <c r="C8" s="372">
        <f t="shared" si="1"/>
        <v>0</v>
      </c>
      <c r="D8" s="462"/>
      <c r="E8" s="372">
        <f t="shared" si="6"/>
        <v>0</v>
      </c>
      <c r="F8" s="372">
        <f t="shared" si="2"/>
        <v>0</v>
      </c>
      <c r="G8" s="372"/>
      <c r="H8" s="372">
        <f t="shared" si="7"/>
        <v>0</v>
      </c>
      <c r="I8" s="372">
        <f t="shared" si="3"/>
        <v>0</v>
      </c>
      <c r="J8" s="372"/>
      <c r="K8" s="372">
        <f t="shared" si="8"/>
        <v>0</v>
      </c>
      <c r="L8" s="372">
        <f t="shared" si="4"/>
        <v>0</v>
      </c>
      <c r="M8" s="372"/>
      <c r="N8" s="372">
        <f t="shared" si="9"/>
        <v>0</v>
      </c>
      <c r="O8" s="793">
        <f t="shared" si="5"/>
        <v>438.68970069387922</v>
      </c>
      <c r="P8" s="793">
        <f>'ANNEXE 1 Grille'!B8*(P$26-P$23)</f>
        <v>75.231167751782053</v>
      </c>
      <c r="Q8" s="793">
        <f t="shared" si="10"/>
        <v>363.45853294209718</v>
      </c>
      <c r="R8" s="237"/>
    </row>
    <row r="9" spans="1:18" x14ac:dyDescent="0.25">
      <c r="A9" s="241" t="s">
        <v>67</v>
      </c>
      <c r="B9" s="373">
        <f t="shared" si="0"/>
        <v>0</v>
      </c>
      <c r="C9" s="372">
        <f t="shared" si="1"/>
        <v>0</v>
      </c>
      <c r="D9" s="462"/>
      <c r="E9" s="372">
        <f t="shared" si="6"/>
        <v>0</v>
      </c>
      <c r="F9" s="372">
        <f t="shared" si="2"/>
        <v>0</v>
      </c>
      <c r="G9" s="372"/>
      <c r="H9" s="372">
        <f t="shared" si="7"/>
        <v>0</v>
      </c>
      <c r="I9" s="372">
        <f t="shared" si="3"/>
        <v>0</v>
      </c>
      <c r="J9" s="372"/>
      <c r="K9" s="372">
        <f t="shared" si="8"/>
        <v>0</v>
      </c>
      <c r="L9" s="372">
        <f t="shared" si="4"/>
        <v>0</v>
      </c>
      <c r="M9" s="372"/>
      <c r="N9" s="372">
        <f t="shared" si="9"/>
        <v>0</v>
      </c>
      <c r="O9" s="793">
        <f t="shared" si="5"/>
        <v>0</v>
      </c>
      <c r="P9" s="793"/>
      <c r="Q9" s="793">
        <f t="shared" si="10"/>
        <v>0</v>
      </c>
      <c r="R9" s="237"/>
    </row>
    <row r="10" spans="1:18" x14ac:dyDescent="0.25">
      <c r="A10" s="241" t="s">
        <v>68</v>
      </c>
      <c r="B10" s="373">
        <f t="shared" si="0"/>
        <v>0</v>
      </c>
      <c r="C10" s="372">
        <f t="shared" si="1"/>
        <v>0</v>
      </c>
      <c r="D10" s="462"/>
      <c r="E10" s="372">
        <f t="shared" si="6"/>
        <v>0</v>
      </c>
      <c r="F10" s="372">
        <f t="shared" si="2"/>
        <v>0</v>
      </c>
      <c r="G10" s="372"/>
      <c r="H10" s="372">
        <f t="shared" si="7"/>
        <v>0</v>
      </c>
      <c r="I10" s="372">
        <f t="shared" si="3"/>
        <v>0</v>
      </c>
      <c r="J10" s="372"/>
      <c r="K10" s="372">
        <f t="shared" si="8"/>
        <v>0</v>
      </c>
      <c r="L10" s="372">
        <f t="shared" si="4"/>
        <v>0</v>
      </c>
      <c r="M10" s="372"/>
      <c r="N10" s="372">
        <f t="shared" si="9"/>
        <v>0</v>
      </c>
      <c r="O10" s="793">
        <f t="shared" si="5"/>
        <v>0</v>
      </c>
      <c r="P10" s="793"/>
      <c r="Q10" s="793">
        <f t="shared" si="10"/>
        <v>0</v>
      </c>
      <c r="R10" s="237"/>
    </row>
    <row r="11" spans="1:18" x14ac:dyDescent="0.25">
      <c r="A11" s="241" t="s">
        <v>69</v>
      </c>
      <c r="B11" s="373">
        <f t="shared" si="0"/>
        <v>1372.2211566581527</v>
      </c>
      <c r="C11" s="372">
        <f t="shared" si="1"/>
        <v>1086.4377129098289</v>
      </c>
      <c r="D11" s="462">
        <f>'ANNEXE 1 Grille'!B11*(D$26-D$23)</f>
        <v>690.05962216274315</v>
      </c>
      <c r="E11" s="372">
        <f t="shared" si="6"/>
        <v>396.37809074708559</v>
      </c>
      <c r="F11" s="372">
        <f t="shared" si="2"/>
        <v>200.98518593674405</v>
      </c>
      <c r="G11" s="372">
        <f>'ANNEXE 1 Grille'!B11*(G$26-G$23)</f>
        <v>88.092717722903373</v>
      </c>
      <c r="H11" s="372">
        <f t="shared" si="7"/>
        <v>112.89246821384067</v>
      </c>
      <c r="I11" s="372">
        <f t="shared" si="3"/>
        <v>25.123148242093006</v>
      </c>
      <c r="J11" s="372">
        <f>'ANNEXE 1 Grille'!B11*(J$26-J$23)</f>
        <v>11.011589715362922</v>
      </c>
      <c r="K11" s="372">
        <f t="shared" si="8"/>
        <v>14.111558526730084</v>
      </c>
      <c r="L11" s="372">
        <f t="shared" si="4"/>
        <v>59.67510956948675</v>
      </c>
      <c r="M11" s="372">
        <f>'ANNEXE 1 Grille'!B11*(M$26-M$23)</f>
        <v>33.03476914608877</v>
      </c>
      <c r="N11" s="372">
        <f t="shared" si="9"/>
        <v>26.640340423397976</v>
      </c>
      <c r="O11" s="793">
        <f t="shared" si="5"/>
        <v>0</v>
      </c>
      <c r="P11" s="793"/>
      <c r="Q11" s="793">
        <f t="shared" si="10"/>
        <v>0</v>
      </c>
      <c r="R11" s="237"/>
    </row>
    <row r="12" spans="1:18" x14ac:dyDescent="0.25">
      <c r="A12" s="241" t="s">
        <v>70</v>
      </c>
      <c r="B12" s="373">
        <f t="shared" si="0"/>
        <v>1886.3106398123691</v>
      </c>
      <c r="C12" s="372">
        <f t="shared" si="1"/>
        <v>1006.0180040948619</v>
      </c>
      <c r="D12" s="462">
        <f>'ANNEXE 1 Grille'!B12*(D$26-D$23)</f>
        <v>609.63991334777631</v>
      </c>
      <c r="E12" s="372">
        <f t="shared" si="6"/>
        <v>396.37809074708559</v>
      </c>
      <c r="F12" s="372">
        <f t="shared" si="2"/>
        <v>190.71884013057809</v>
      </c>
      <c r="G12" s="372">
        <f>'ANNEXE 1 Grille'!B12*(G$26-G$23)</f>
        <v>77.826371916737401</v>
      </c>
      <c r="H12" s="372">
        <f t="shared" si="7"/>
        <v>112.89246821384067</v>
      </c>
      <c r="I12" s="372">
        <f t="shared" si="3"/>
        <v>23.839855016322261</v>
      </c>
      <c r="J12" s="372">
        <f>'ANNEXE 1 Grille'!B12*(J$26-J$23)</f>
        <v>9.7282964895921751</v>
      </c>
      <c r="K12" s="372">
        <f t="shared" si="8"/>
        <v>14.111558526730084</v>
      </c>
      <c r="L12" s="372">
        <f t="shared" si="4"/>
        <v>55.825229892174505</v>
      </c>
      <c r="M12" s="372">
        <f>'ANNEXE 1 Grille'!B12*(M$26-M$23)</f>
        <v>29.184889468776525</v>
      </c>
      <c r="N12" s="372">
        <f t="shared" si="9"/>
        <v>26.640340423397976</v>
      </c>
      <c r="O12" s="793">
        <f t="shared" si="5"/>
        <v>609.90871067843227</v>
      </c>
      <c r="P12" s="793">
        <f>'ANNEXE 1 Grille'!B12*(P$26-P$23)</f>
        <v>246.45017773633512</v>
      </c>
      <c r="Q12" s="793">
        <f t="shared" si="10"/>
        <v>363.45853294209718</v>
      </c>
      <c r="R12" s="237"/>
    </row>
    <row r="13" spans="1:18" x14ac:dyDescent="0.25">
      <c r="A13" s="241" t="s">
        <v>71</v>
      </c>
      <c r="B13" s="373">
        <f t="shared" si="0"/>
        <v>0</v>
      </c>
      <c r="C13" s="372">
        <f t="shared" si="1"/>
        <v>0</v>
      </c>
      <c r="D13" s="462"/>
      <c r="E13" s="372">
        <f t="shared" si="6"/>
        <v>0</v>
      </c>
      <c r="F13" s="372">
        <f t="shared" si="2"/>
        <v>0</v>
      </c>
      <c r="G13" s="372"/>
      <c r="H13" s="372">
        <f t="shared" si="7"/>
        <v>0</v>
      </c>
      <c r="I13" s="372">
        <f t="shared" si="3"/>
        <v>0</v>
      </c>
      <c r="J13" s="372"/>
      <c r="K13" s="372">
        <f t="shared" si="8"/>
        <v>0</v>
      </c>
      <c r="L13" s="372">
        <f t="shared" si="4"/>
        <v>0</v>
      </c>
      <c r="M13" s="372"/>
      <c r="N13" s="372">
        <f t="shared" si="9"/>
        <v>0</v>
      </c>
      <c r="O13" s="793">
        <f t="shared" si="5"/>
        <v>0</v>
      </c>
      <c r="P13" s="793"/>
      <c r="Q13" s="793">
        <f t="shared" si="10"/>
        <v>0</v>
      </c>
      <c r="R13" s="237"/>
    </row>
    <row r="14" spans="1:18" x14ac:dyDescent="0.25">
      <c r="A14" s="241" t="s">
        <v>72</v>
      </c>
      <c r="B14" s="373">
        <f t="shared" si="0"/>
        <v>1481.0317991636525</v>
      </c>
      <c r="C14" s="372">
        <f t="shared" si="1"/>
        <v>752.0432639549997</v>
      </c>
      <c r="D14" s="462">
        <f>'ANNEXE 1 Grille'!B14*(D$26-D$23)</f>
        <v>355.66517320791405</v>
      </c>
      <c r="E14" s="372">
        <f t="shared" si="6"/>
        <v>396.37809074708559</v>
      </c>
      <c r="F14" s="372">
        <f t="shared" si="2"/>
        <v>158.29653287868075</v>
      </c>
      <c r="G14" s="372">
        <f>'ANNEXE 1 Grille'!B14*(G$26-G$23)</f>
        <v>45.404064664840085</v>
      </c>
      <c r="H14" s="372">
        <f t="shared" si="7"/>
        <v>112.89246821384067</v>
      </c>
      <c r="I14" s="372">
        <f t="shared" si="3"/>
        <v>19.787066609835094</v>
      </c>
      <c r="J14" s="372">
        <f>'ANNEXE 1 Grille'!B14*(J$26-J$23)</f>
        <v>5.6755080831050106</v>
      </c>
      <c r="K14" s="372">
        <f t="shared" si="8"/>
        <v>14.111558526730084</v>
      </c>
      <c r="L14" s="372">
        <f t="shared" si="4"/>
        <v>43.666864672713011</v>
      </c>
      <c r="M14" s="372">
        <f>'ANNEXE 1 Grille'!B14*(M$26-M$23)</f>
        <v>17.026524249315035</v>
      </c>
      <c r="N14" s="372">
        <f t="shared" si="9"/>
        <v>26.640340423397976</v>
      </c>
      <c r="O14" s="793">
        <f t="shared" si="5"/>
        <v>507.23807104742411</v>
      </c>
      <c r="P14" s="793">
        <f>'ANNEXE 1 Grille'!B14*(P$26-P$23)</f>
        <v>143.77953810532694</v>
      </c>
      <c r="Q14" s="793">
        <f t="shared" si="10"/>
        <v>363.45853294209718</v>
      </c>
      <c r="R14" s="237"/>
    </row>
    <row r="15" spans="1:18" x14ac:dyDescent="0.25">
      <c r="A15" s="241" t="s">
        <v>73</v>
      </c>
      <c r="B15" s="373">
        <f t="shared" si="0"/>
        <v>2126.9517903918654</v>
      </c>
      <c r="C15" s="372">
        <f t="shared" si="1"/>
        <v>1156.8197917913465</v>
      </c>
      <c r="D15" s="462">
        <f>'ANNEXE 1 Grille'!B15*(D$26-D$23)</f>
        <v>760.44170104426087</v>
      </c>
      <c r="E15" s="372">
        <f t="shared" si="6"/>
        <v>396.37809074708559</v>
      </c>
      <c r="F15" s="372">
        <f t="shared" si="2"/>
        <v>209.9701321769378</v>
      </c>
      <c r="G15" s="372">
        <f>'ANNEXE 1 Grille'!B15*(G$26-G$23)</f>
        <v>97.077663963097137</v>
      </c>
      <c r="H15" s="372">
        <f t="shared" si="7"/>
        <v>112.89246821384067</v>
      </c>
      <c r="I15" s="372">
        <f t="shared" si="3"/>
        <v>26.246266522117224</v>
      </c>
      <c r="J15" s="372">
        <f>'ANNEXE 1 Grille'!B15*(J$26-J$23)</f>
        <v>12.134707995387142</v>
      </c>
      <c r="K15" s="372">
        <f t="shared" si="8"/>
        <v>14.111558526730084</v>
      </c>
      <c r="L15" s="372">
        <f t="shared" si="4"/>
        <v>63.044464409559396</v>
      </c>
      <c r="M15" s="372">
        <f>'ANNEXE 1 Grille'!B15*(M$26-M$23)</f>
        <v>36.404123986161423</v>
      </c>
      <c r="N15" s="372">
        <f t="shared" si="9"/>
        <v>26.640340423397976</v>
      </c>
      <c r="O15" s="793">
        <f t="shared" si="5"/>
        <v>670.87113549190474</v>
      </c>
      <c r="P15" s="793">
        <f>'ANNEXE 1 Grille'!B15*(P$26-P$23)</f>
        <v>307.41260254980756</v>
      </c>
      <c r="Q15" s="793">
        <f t="shared" si="10"/>
        <v>363.45853294209718</v>
      </c>
      <c r="R15" s="237"/>
    </row>
    <row r="16" spans="1:18" x14ac:dyDescent="0.25">
      <c r="A16" s="241" t="s">
        <v>74</v>
      </c>
      <c r="B16" s="373">
        <f t="shared" si="0"/>
        <v>0</v>
      </c>
      <c r="C16" s="372">
        <f t="shared" si="1"/>
        <v>0</v>
      </c>
      <c r="D16" s="462"/>
      <c r="E16" s="372"/>
      <c r="F16" s="372">
        <f t="shared" si="2"/>
        <v>0</v>
      </c>
      <c r="G16" s="372"/>
      <c r="H16" s="372">
        <f t="shared" si="7"/>
        <v>0</v>
      </c>
      <c r="I16" s="372">
        <f t="shared" si="3"/>
        <v>0</v>
      </c>
      <c r="J16" s="372"/>
      <c r="K16" s="372">
        <f t="shared" si="8"/>
        <v>0</v>
      </c>
      <c r="L16" s="372">
        <f t="shared" si="4"/>
        <v>0</v>
      </c>
      <c r="M16" s="372"/>
      <c r="N16" s="372">
        <f t="shared" si="9"/>
        <v>0</v>
      </c>
      <c r="O16" s="793">
        <f t="shared" si="5"/>
        <v>0</v>
      </c>
      <c r="P16" s="793"/>
      <c r="Q16" s="793">
        <f t="shared" si="10"/>
        <v>0</v>
      </c>
      <c r="R16" s="237"/>
    </row>
    <row r="17" spans="1:18" x14ac:dyDescent="0.25">
      <c r="A17" s="241" t="s">
        <v>75</v>
      </c>
      <c r="B17" s="373">
        <f t="shared" si="0"/>
        <v>685.38648674920591</v>
      </c>
      <c r="C17" s="372">
        <f t="shared" si="1"/>
        <v>685.38648674920591</v>
      </c>
      <c r="D17" s="462">
        <f>'ANNEXE 1 Grille'!B17*(D$26-D$23)</f>
        <v>289.00839600212032</v>
      </c>
      <c r="E17" s="372">
        <f t="shared" si="6"/>
        <v>396.37809074708559</v>
      </c>
      <c r="F17" s="372">
        <f t="shared" si="2"/>
        <v>0</v>
      </c>
      <c r="G17" s="372"/>
      <c r="H17" s="372">
        <f t="shared" si="7"/>
        <v>0</v>
      </c>
      <c r="I17" s="372">
        <f t="shared" si="3"/>
        <v>0</v>
      </c>
      <c r="J17" s="372"/>
      <c r="K17" s="372">
        <f t="shared" si="8"/>
        <v>0</v>
      </c>
      <c r="L17" s="372">
        <f t="shared" si="4"/>
        <v>0</v>
      </c>
      <c r="M17" s="372"/>
      <c r="N17" s="372">
        <f t="shared" si="9"/>
        <v>0</v>
      </c>
      <c r="O17" s="793">
        <f t="shared" si="5"/>
        <v>0</v>
      </c>
      <c r="P17" s="793"/>
      <c r="Q17" s="793">
        <f t="shared" si="10"/>
        <v>0</v>
      </c>
      <c r="R17" s="237"/>
    </row>
    <row r="18" spans="1:18" x14ac:dyDescent="0.25">
      <c r="A18" s="241" t="s">
        <v>76</v>
      </c>
      <c r="B18" s="373">
        <f t="shared" si="0"/>
        <v>0</v>
      </c>
      <c r="C18" s="372">
        <f t="shared" si="1"/>
        <v>0</v>
      </c>
      <c r="D18" s="462"/>
      <c r="E18" s="372">
        <f t="shared" si="6"/>
        <v>0</v>
      </c>
      <c r="F18" s="372">
        <f t="shared" si="2"/>
        <v>0</v>
      </c>
      <c r="G18" s="372"/>
      <c r="H18" s="372">
        <f t="shared" si="7"/>
        <v>0</v>
      </c>
      <c r="I18" s="372">
        <f t="shared" si="3"/>
        <v>0</v>
      </c>
      <c r="J18" s="372"/>
      <c r="K18" s="372">
        <f t="shared" si="8"/>
        <v>0</v>
      </c>
      <c r="L18" s="372">
        <f t="shared" si="4"/>
        <v>0</v>
      </c>
      <c r="M18" s="372"/>
      <c r="N18" s="372">
        <f t="shared" si="9"/>
        <v>0</v>
      </c>
      <c r="O18" s="793">
        <f t="shared" si="5"/>
        <v>0</v>
      </c>
      <c r="P18" s="793"/>
      <c r="Q18" s="793">
        <f t="shared" si="10"/>
        <v>0</v>
      </c>
      <c r="R18" s="237"/>
    </row>
    <row r="19" spans="1:18" x14ac:dyDescent="0.25">
      <c r="A19" s="241" t="s">
        <v>77</v>
      </c>
      <c r="B19" s="373">
        <f t="shared" si="0"/>
        <v>0</v>
      </c>
      <c r="C19" s="372">
        <f t="shared" si="1"/>
        <v>0</v>
      </c>
      <c r="D19" s="462"/>
      <c r="E19" s="372">
        <f t="shared" si="6"/>
        <v>0</v>
      </c>
      <c r="F19" s="372">
        <f t="shared" si="2"/>
        <v>0</v>
      </c>
      <c r="G19" s="372"/>
      <c r="H19" s="372">
        <f t="shared" si="7"/>
        <v>0</v>
      </c>
      <c r="I19" s="372">
        <f t="shared" si="3"/>
        <v>0</v>
      </c>
      <c r="J19" s="372"/>
      <c r="K19" s="372">
        <f t="shared" si="8"/>
        <v>0</v>
      </c>
      <c r="L19" s="372">
        <f t="shared" si="4"/>
        <v>0</v>
      </c>
      <c r="M19" s="372"/>
      <c r="N19" s="372">
        <f t="shared" si="9"/>
        <v>0</v>
      </c>
      <c r="O19" s="793">
        <f t="shared" si="5"/>
        <v>0</v>
      </c>
      <c r="P19" s="793"/>
      <c r="Q19" s="793">
        <f t="shared" si="10"/>
        <v>0</v>
      </c>
      <c r="R19" s="237"/>
    </row>
    <row r="20" spans="1:18" x14ac:dyDescent="0.25">
      <c r="A20" s="241" t="s">
        <v>78</v>
      </c>
      <c r="B20" s="373">
        <f t="shared" si="0"/>
        <v>1735.6956320875086</v>
      </c>
      <c r="C20" s="372">
        <f t="shared" si="1"/>
        <v>1391.4966476451812</v>
      </c>
      <c r="D20" s="462">
        <f>'ANNEXE 1 Grille'!B20*(D$26-D$23)</f>
        <v>995.11855689809556</v>
      </c>
      <c r="E20" s="372">
        <f t="shared" si="6"/>
        <v>396.37809074708559</v>
      </c>
      <c r="F20" s="372">
        <f t="shared" si="2"/>
        <v>239.92887973274651</v>
      </c>
      <c r="G20" s="372">
        <f>'ANNEXE 1 Grille'!B20*(G$26-G$23)</f>
        <v>127.03641151890582</v>
      </c>
      <c r="H20" s="372">
        <f t="shared" si="7"/>
        <v>112.89246821384067</v>
      </c>
      <c r="I20" s="372">
        <f t="shared" si="3"/>
        <v>29.991109966593314</v>
      </c>
      <c r="J20" s="372">
        <f>'ANNEXE 1 Grille'!B20*(J$26-J$23)</f>
        <v>15.879551439863228</v>
      </c>
      <c r="K20" s="372">
        <f t="shared" si="8"/>
        <v>14.111558526730084</v>
      </c>
      <c r="L20" s="372">
        <f t="shared" si="4"/>
        <v>74.278994742987663</v>
      </c>
      <c r="M20" s="372">
        <f>'ANNEXE 1 Grille'!B20*(M$26-M$23)</f>
        <v>47.638654319589683</v>
      </c>
      <c r="N20" s="372">
        <f t="shared" si="9"/>
        <v>26.640340423397976</v>
      </c>
      <c r="O20" s="793">
        <f t="shared" si="5"/>
        <v>0</v>
      </c>
      <c r="P20" s="793"/>
      <c r="Q20" s="793">
        <f t="shared" si="10"/>
        <v>0</v>
      </c>
      <c r="R20" s="237" t="s">
        <v>445</v>
      </c>
    </row>
    <row r="21" spans="1:18" ht="17.25" customHeight="1" x14ac:dyDescent="0.25">
      <c r="A21" s="241" t="s">
        <v>429</v>
      </c>
      <c r="B21" s="373">
        <f t="shared" si="0"/>
        <v>0</v>
      </c>
      <c r="C21" s="372">
        <f t="shared" si="1"/>
        <v>0</v>
      </c>
      <c r="D21" s="462"/>
      <c r="E21" s="372">
        <f t="shared" si="6"/>
        <v>0</v>
      </c>
      <c r="F21" s="372">
        <f t="shared" si="2"/>
        <v>0</v>
      </c>
      <c r="G21" s="372"/>
      <c r="H21" s="372">
        <f t="shared" si="7"/>
        <v>0</v>
      </c>
      <c r="I21" s="372">
        <f t="shared" si="3"/>
        <v>0</v>
      </c>
      <c r="J21" s="372"/>
      <c r="K21" s="372">
        <f t="shared" si="8"/>
        <v>0</v>
      </c>
      <c r="L21" s="372">
        <f t="shared" si="4"/>
        <v>0</v>
      </c>
      <c r="M21" s="372"/>
      <c r="N21" s="372">
        <f t="shared" si="9"/>
        <v>0</v>
      </c>
      <c r="O21" s="793">
        <f t="shared" si="5"/>
        <v>0</v>
      </c>
      <c r="P21" s="793"/>
      <c r="Q21" s="793">
        <f t="shared" si="10"/>
        <v>0</v>
      </c>
    </row>
    <row r="22" spans="1:18" x14ac:dyDescent="0.25">
      <c r="A22" s="241" t="s">
        <v>430</v>
      </c>
      <c r="B22" s="373">
        <f t="shared" si="0"/>
        <v>0</v>
      </c>
      <c r="C22" s="372">
        <f t="shared" si="1"/>
        <v>0</v>
      </c>
      <c r="D22" s="462"/>
      <c r="E22" s="372">
        <f>IF(D22&lt;&gt;0,E$26/#REF!,D22)</f>
        <v>0</v>
      </c>
      <c r="F22" s="372">
        <f t="shared" si="2"/>
        <v>0</v>
      </c>
      <c r="G22" s="372"/>
      <c r="H22" s="372">
        <f>IF(G22&lt;&gt;0,H$26/#REF!,G22)</f>
        <v>0</v>
      </c>
      <c r="I22" s="372">
        <f t="shared" si="3"/>
        <v>0</v>
      </c>
      <c r="J22" s="372"/>
      <c r="K22" s="372">
        <f>IF(J22&lt;&gt;0,K$26/#REF!,J22)</f>
        <v>0</v>
      </c>
      <c r="L22" s="372">
        <f t="shared" si="4"/>
        <v>0</v>
      </c>
      <c r="M22" s="372"/>
      <c r="N22" s="372">
        <f>IF(M22&lt;&gt;0,N$26/#REF!,M22)</f>
        <v>0</v>
      </c>
      <c r="O22" s="793">
        <f t="shared" si="5"/>
        <v>0</v>
      </c>
      <c r="P22" s="793"/>
      <c r="Q22" s="793">
        <f>IF(P22&lt;&gt;0,Q$26/#REF!,P22)</f>
        <v>0</v>
      </c>
    </row>
    <row r="23" spans="1:18" x14ac:dyDescent="0.25">
      <c r="A23" s="241" t="s">
        <v>80</v>
      </c>
      <c r="B23" s="373">
        <f t="shared" si="0"/>
        <v>0</v>
      </c>
      <c r="C23" s="372">
        <f t="shared" si="1"/>
        <v>0</v>
      </c>
      <c r="D23" s="463"/>
      <c r="E23" s="457"/>
      <c r="F23" s="372">
        <f t="shared" si="2"/>
        <v>0</v>
      </c>
      <c r="G23" s="457"/>
      <c r="H23" s="457"/>
      <c r="I23" s="372">
        <f t="shared" si="3"/>
        <v>0</v>
      </c>
      <c r="J23" s="457"/>
      <c r="K23" s="457"/>
      <c r="L23" s="372">
        <f t="shared" si="4"/>
        <v>0</v>
      </c>
      <c r="M23" s="457"/>
      <c r="N23" s="457"/>
      <c r="O23" s="793">
        <f t="shared" si="5"/>
        <v>0</v>
      </c>
      <c r="P23" s="794"/>
      <c r="Q23" s="794"/>
    </row>
    <row r="24" spans="1:18" x14ac:dyDescent="0.25">
      <c r="A24" s="241" t="s">
        <v>188</v>
      </c>
      <c r="B24" s="373">
        <f t="shared" si="0"/>
        <v>0</v>
      </c>
      <c r="C24" s="372"/>
      <c r="D24" s="463"/>
      <c r="E24" s="457"/>
      <c r="F24" s="372"/>
      <c r="G24" s="457"/>
      <c r="H24" s="457"/>
      <c r="I24" s="372"/>
      <c r="J24" s="457"/>
      <c r="K24" s="457"/>
      <c r="L24" s="372"/>
      <c r="M24" s="457"/>
      <c r="N24" s="457"/>
      <c r="O24" s="793"/>
      <c r="P24" s="794"/>
      <c r="Q24" s="794"/>
    </row>
    <row r="25" spans="1:18" ht="30.75" customHeight="1" x14ac:dyDescent="0.25">
      <c r="A25" s="464" t="s">
        <v>239</v>
      </c>
      <c r="B25" s="373">
        <f>C25+F25+I25+L25+O25</f>
        <v>15000.000000000002</v>
      </c>
      <c r="C25" s="465">
        <f>SUM(C2:C24)</f>
        <v>9400.0000000000018</v>
      </c>
      <c r="D25" s="466">
        <f>SUM(D26:D26)</f>
        <v>9400</v>
      </c>
      <c r="E25" s="465"/>
      <c r="F25" s="465">
        <f>SUM(F2:F24)</f>
        <v>1200</v>
      </c>
      <c r="G25" s="465">
        <f>SUM(G26:G26)</f>
        <v>1200</v>
      </c>
      <c r="H25" s="465"/>
      <c r="I25" s="465">
        <f>SUM(I2:I24)</f>
        <v>150</v>
      </c>
      <c r="J25" s="465">
        <f>SUM(J26:J26)</f>
        <v>150</v>
      </c>
      <c r="K25" s="465"/>
      <c r="L25" s="465">
        <f>SUM(L2:L24)</f>
        <v>450</v>
      </c>
      <c r="M25" s="465">
        <f>SUM(M26:M26)</f>
        <v>450</v>
      </c>
      <c r="N25" s="465"/>
      <c r="O25" s="795">
        <f>SUM(O2:O24)</f>
        <v>3800</v>
      </c>
      <c r="P25" s="795">
        <f>SUM(P26:P26)</f>
        <v>3800</v>
      </c>
      <c r="Q25" s="795"/>
    </row>
    <row r="26" spans="1:18" ht="15.75" customHeight="1" x14ac:dyDescent="0.25">
      <c r="A26" s="467" t="s">
        <v>431</v>
      </c>
      <c r="B26" s="464"/>
      <c r="C26" s="452"/>
      <c r="D26" s="468">
        <v>9400</v>
      </c>
      <c r="E26" s="375">
        <f>D26-SUM(D2:D24)</f>
        <v>3567.4028167237702</v>
      </c>
      <c r="F26" s="375"/>
      <c r="G26" s="375">
        <v>1200</v>
      </c>
      <c r="H26" s="375">
        <f>G26-SUM(G2:G24)</f>
        <v>677.35480928304401</v>
      </c>
      <c r="I26" s="375"/>
      <c r="J26" s="375">
        <v>150</v>
      </c>
      <c r="K26" s="375">
        <f>J26-SUM(J2:J24)</f>
        <v>84.669351160380501</v>
      </c>
      <c r="L26" s="375"/>
      <c r="M26" s="375">
        <v>450</v>
      </c>
      <c r="N26" s="375">
        <f>M26-SUM(M2:M24)</f>
        <v>186.48238296378582</v>
      </c>
      <c r="O26" s="796"/>
      <c r="P26" s="796">
        <v>3800</v>
      </c>
      <c r="Q26" s="796">
        <f>P26-SUM(P2:P24)</f>
        <v>2180.751197652583</v>
      </c>
    </row>
    <row r="27" spans="1:18" s="382" customFormat="1" ht="12" x14ac:dyDescent="0.2">
      <c r="A27" s="469" t="s">
        <v>240</v>
      </c>
      <c r="B27" s="470"/>
      <c r="C27" s="471"/>
      <c r="D27" s="471">
        <f>SUM(D2:E24)</f>
        <v>9400.0000000000018</v>
      </c>
      <c r="E27" s="471"/>
      <c r="F27" s="471"/>
      <c r="G27" s="471">
        <f>SUM(G2:H24)</f>
        <v>1200</v>
      </c>
      <c r="H27" s="471"/>
      <c r="I27" s="471"/>
      <c r="J27" s="471">
        <f>SUM(J2:K24)</f>
        <v>150</v>
      </c>
      <c r="K27" s="471"/>
      <c r="L27" s="471"/>
      <c r="M27" s="471">
        <f>SUM(M2:N24)</f>
        <v>450</v>
      </c>
      <c r="N27" s="471"/>
      <c r="O27" s="471"/>
      <c r="P27" s="471">
        <f>SUM(P2:Q24)</f>
        <v>3800</v>
      </c>
      <c r="Q27" s="471"/>
    </row>
    <row r="28" spans="1:18" x14ac:dyDescent="0.25">
      <c r="A28" s="472"/>
      <c r="B28" s="473"/>
      <c r="C28" s="474"/>
      <c r="D28" s="475">
        <f>COUNTA(D2:D24)</f>
        <v>9</v>
      </c>
      <c r="E28" s="476"/>
      <c r="F28" s="476"/>
      <c r="G28" s="475">
        <f>COUNTA(G2:G24)</f>
        <v>6</v>
      </c>
      <c r="H28" s="476"/>
      <c r="I28" s="476"/>
      <c r="J28" s="475">
        <f>COUNTA(J2:J24)</f>
        <v>6</v>
      </c>
      <c r="K28" s="476"/>
      <c r="L28" s="476"/>
      <c r="M28" s="475">
        <f>COUNTA(M2:M24)</f>
        <v>7</v>
      </c>
      <c r="N28" s="476"/>
      <c r="O28" s="476"/>
      <c r="P28" s="475">
        <f>COUNTA(P2:P24)</f>
        <v>6</v>
      </c>
      <c r="Q28" s="476"/>
    </row>
    <row r="30" spans="1:18" x14ac:dyDescent="0.25">
      <c r="J30" s="328"/>
    </row>
    <row r="31" spans="1:18" x14ac:dyDescent="0.25">
      <c r="A31" s="188" t="s">
        <v>432</v>
      </c>
    </row>
  </sheetData>
  <mergeCells count="5">
    <mergeCell ref="C1:E1"/>
    <mergeCell ref="F1:H1"/>
    <mergeCell ref="I1:K1"/>
    <mergeCell ref="L1:N1"/>
    <mergeCell ref="O1:Q1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9" firstPageNumber="0" orientation="portrait" horizontalDpi="1200" verticalDpi="1200" r:id="rId1"/>
  <headerFooter>
    <oddHeader>&amp;C&amp;F</oddHeader>
    <oddFooter>&amp;L&amp;Z&amp;F&amp;R&amp;D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1"/>
  <sheetViews>
    <sheetView workbookViewId="0">
      <selection activeCell="M14" sqref="M14"/>
    </sheetView>
  </sheetViews>
  <sheetFormatPr baseColWidth="10" defaultColWidth="9.140625" defaultRowHeight="15" x14ac:dyDescent="0.25"/>
  <cols>
    <col min="1" max="6" width="15.7109375" style="570" customWidth="1"/>
    <col min="7" max="7" width="16.7109375" style="570" customWidth="1"/>
    <col min="8" max="10" width="15.7109375" style="570" customWidth="1"/>
  </cols>
  <sheetData>
    <row r="1" spans="1:10" x14ac:dyDescent="0.25">
      <c r="A1" s="945" t="s">
        <v>42</v>
      </c>
      <c r="B1" s="707"/>
      <c r="C1" s="707"/>
      <c r="D1" s="707"/>
      <c r="E1" s="707"/>
      <c r="F1" s="707"/>
      <c r="G1" s="707"/>
      <c r="H1" s="707"/>
      <c r="I1" s="707"/>
      <c r="J1" s="707"/>
    </row>
    <row r="2" spans="1:10" x14ac:dyDescent="0.25">
      <c r="A2" s="945"/>
      <c r="B2" s="946" t="s">
        <v>433</v>
      </c>
      <c r="C2" s="946"/>
      <c r="D2" s="946"/>
      <c r="E2" s="946" t="s">
        <v>434</v>
      </c>
      <c r="F2" s="946"/>
      <c r="G2" s="946"/>
      <c r="H2" s="946" t="s">
        <v>435</v>
      </c>
      <c r="I2" s="946"/>
      <c r="J2" s="946"/>
    </row>
    <row r="3" spans="1:10" x14ac:dyDescent="0.25">
      <c r="A3" s="945"/>
      <c r="B3" s="947">
        <v>2021</v>
      </c>
      <c r="C3" s="947"/>
      <c r="D3" s="947"/>
      <c r="E3" s="947">
        <v>2022</v>
      </c>
      <c r="F3" s="947"/>
      <c r="G3" s="947"/>
      <c r="H3" s="947">
        <v>2023</v>
      </c>
      <c r="I3" s="947"/>
      <c r="J3" s="947"/>
    </row>
    <row r="4" spans="1:10" ht="24" x14ac:dyDescent="0.25">
      <c r="A4" s="945"/>
      <c r="B4" s="558" t="s">
        <v>298</v>
      </c>
      <c r="C4" s="559" t="s">
        <v>299</v>
      </c>
      <c r="D4" s="559" t="s">
        <v>300</v>
      </c>
      <c r="E4" s="558" t="s">
        <v>298</v>
      </c>
      <c r="F4" s="559" t="s">
        <v>299</v>
      </c>
      <c r="G4" s="559" t="s">
        <v>300</v>
      </c>
      <c r="H4" s="558" t="s">
        <v>298</v>
      </c>
      <c r="I4" s="559" t="s">
        <v>299</v>
      </c>
      <c r="J4" s="559" t="s">
        <v>300</v>
      </c>
    </row>
    <row r="5" spans="1:10" x14ac:dyDescent="0.25">
      <c r="A5" s="560" t="s">
        <v>60</v>
      </c>
      <c r="B5" s="561">
        <f t="shared" ref="B5:B26" si="0">(C5+D5)</f>
        <v>7813.8611725126702</v>
      </c>
      <c r="C5" s="562">
        <f>'ANNEXE 1 Grille'!B2*$B$28</f>
        <v>4851.4986159505288</v>
      </c>
      <c r="D5" s="561">
        <f>IF(C5&lt;&gt;0,$C$27/C$28,C5)</f>
        <v>2962.3625565621414</v>
      </c>
      <c r="E5" s="561">
        <f t="shared" ref="E5:E26" si="1">(F5+G5)</f>
        <v>7989.6054549394248</v>
      </c>
      <c r="F5" s="562">
        <f>'ANNEXE 1 Grille'!B2*$E$28</f>
        <v>4960.6153668283087</v>
      </c>
      <c r="G5" s="561">
        <f>IF(F5&lt;&gt;0,$F$27/F$28,F5)</f>
        <v>3028.9900881111162</v>
      </c>
      <c r="H5" s="561">
        <f t="shared" ref="H5:H26" si="2">(I5+J5)</f>
        <v>8158.5903418882299</v>
      </c>
      <c r="I5" s="562">
        <f>'ANNEXE 1 Grille'!B2*$H$28</f>
        <v>5065.5353195954049</v>
      </c>
      <c r="J5" s="561">
        <f>IF(I5&lt;&gt;0,$I$27/I$28,I5)</f>
        <v>3093.0550222928255</v>
      </c>
    </row>
    <row r="6" spans="1:10" x14ac:dyDescent="0.25">
      <c r="A6" s="560" t="s">
        <v>61</v>
      </c>
      <c r="B6" s="561">
        <f t="shared" si="0"/>
        <v>0</v>
      </c>
      <c r="C6" s="562"/>
      <c r="D6" s="561">
        <f t="shared" ref="D6:D26" si="3">IF(C6&lt;&gt;0,$C$27/C$28,C6)</f>
        <v>0</v>
      </c>
      <c r="E6" s="561">
        <f t="shared" si="1"/>
        <v>0</v>
      </c>
      <c r="F6" s="562"/>
      <c r="G6" s="561">
        <f t="shared" ref="G6:G26" si="4">IF(F6&lt;&gt;0,$C$27/F$28,F6)</f>
        <v>0</v>
      </c>
      <c r="H6" s="561">
        <f t="shared" si="2"/>
        <v>0</v>
      </c>
      <c r="I6" s="562"/>
      <c r="J6" s="561">
        <f t="shared" ref="J6:J26" si="5">IF(I6&lt;&gt;0,$C$27/I$28,I6)</f>
        <v>0</v>
      </c>
    </row>
    <row r="7" spans="1:10" x14ac:dyDescent="0.25">
      <c r="A7" s="560" t="s">
        <v>62</v>
      </c>
      <c r="B7" s="561">
        <f t="shared" si="0"/>
        <v>0</v>
      </c>
      <c r="C7" s="562"/>
      <c r="D7" s="561">
        <f t="shared" si="3"/>
        <v>0</v>
      </c>
      <c r="E7" s="561">
        <f t="shared" si="1"/>
        <v>0</v>
      </c>
      <c r="F7" s="562"/>
      <c r="G7" s="561">
        <f t="shared" si="4"/>
        <v>0</v>
      </c>
      <c r="H7" s="561">
        <f t="shared" si="2"/>
        <v>0</v>
      </c>
      <c r="I7" s="562"/>
      <c r="J7" s="561">
        <f t="shared" si="5"/>
        <v>0</v>
      </c>
    </row>
    <row r="8" spans="1:10" x14ac:dyDescent="0.25">
      <c r="A8" s="560" t="s">
        <v>63</v>
      </c>
      <c r="B8" s="561">
        <f t="shared" si="0"/>
        <v>20308.957027242835</v>
      </c>
      <c r="C8" s="562">
        <f>'ANNEXE 1 Grille'!B5*$B$28</f>
        <v>17346.594470680695</v>
      </c>
      <c r="D8" s="561">
        <f t="shared" si="3"/>
        <v>2962.3625565621414</v>
      </c>
      <c r="E8" s="561">
        <f t="shared" si="1"/>
        <v>20765.732877336533</v>
      </c>
      <c r="F8" s="562">
        <f>'ANNEXE 1 Grille'!B5*$E$28</f>
        <v>17736.742789225416</v>
      </c>
      <c r="G8" s="561">
        <f>IF(F8&lt;&gt;0,$F$27/F$28,F8)</f>
        <v>3028.9900881111162</v>
      </c>
      <c r="H8" s="561">
        <f t="shared" si="2"/>
        <v>21204.940425503552</v>
      </c>
      <c r="I8" s="562">
        <f>'ANNEXE 1 Grille'!B5*$H$28</f>
        <v>18111.885403210727</v>
      </c>
      <c r="J8" s="561">
        <f>IF(I8&lt;&gt;0,$I$27/I$28,I8)</f>
        <v>3093.0550222928255</v>
      </c>
    </row>
    <row r="9" spans="1:10" x14ac:dyDescent="0.25">
      <c r="A9" s="560" t="s">
        <v>64</v>
      </c>
      <c r="B9" s="561">
        <f t="shared" si="0"/>
        <v>11363.396126197633</v>
      </c>
      <c r="C9" s="562">
        <f>'ANNEXE 1 Grille'!B6*$B$28</f>
        <v>8401.0335696354905</v>
      </c>
      <c r="D9" s="561">
        <f t="shared" si="3"/>
        <v>2962.3625565621414</v>
      </c>
      <c r="E9" s="561">
        <f t="shared" si="1"/>
        <v>11618.974239762632</v>
      </c>
      <c r="F9" s="562">
        <f>'ANNEXE 1 Grille'!B6*$E$28</f>
        <v>8589.9841516515153</v>
      </c>
      <c r="G9" s="561">
        <f>IF(F9&lt;&gt;0,$F$27/F$28,F9)</f>
        <v>3028.9900881111162</v>
      </c>
      <c r="H9" s="561">
        <f t="shared" si="2"/>
        <v>11864.722425882823</v>
      </c>
      <c r="I9" s="562">
        <f>'ANNEXE 1 Grille'!B6*$H$28</f>
        <v>8771.6674035899978</v>
      </c>
      <c r="J9" s="561">
        <f>IF(I9&lt;&gt;0,$I$27/I$28,I9)</f>
        <v>3093.0550222928255</v>
      </c>
    </row>
    <row r="10" spans="1:10" x14ac:dyDescent="0.25">
      <c r="A10" s="560" t="s">
        <v>65</v>
      </c>
      <c r="B10" s="561">
        <f t="shared" si="0"/>
        <v>0</v>
      </c>
      <c r="C10" s="562"/>
      <c r="D10" s="561">
        <f t="shared" si="3"/>
        <v>0</v>
      </c>
      <c r="E10" s="561">
        <f t="shared" si="1"/>
        <v>0</v>
      </c>
      <c r="F10" s="562"/>
      <c r="G10" s="561">
        <f t="shared" si="4"/>
        <v>0</v>
      </c>
      <c r="H10" s="561">
        <f t="shared" si="2"/>
        <v>0</v>
      </c>
      <c r="I10" s="562"/>
      <c r="J10" s="561">
        <f t="shared" si="5"/>
        <v>0</v>
      </c>
    </row>
    <row r="11" spans="1:10" x14ac:dyDescent="0.25">
      <c r="A11" s="560" t="s">
        <v>66</v>
      </c>
      <c r="B11" s="561">
        <f t="shared" si="0"/>
        <v>0</v>
      </c>
      <c r="C11" s="562"/>
      <c r="D11" s="561">
        <f t="shared" si="3"/>
        <v>0</v>
      </c>
      <c r="E11" s="561">
        <f t="shared" si="1"/>
        <v>0</v>
      </c>
      <c r="F11" s="562"/>
      <c r="G11" s="561">
        <f t="shared" si="4"/>
        <v>0</v>
      </c>
      <c r="H11" s="561">
        <f t="shared" si="2"/>
        <v>0</v>
      </c>
      <c r="I11" s="562"/>
      <c r="J11" s="561">
        <f t="shared" si="5"/>
        <v>0</v>
      </c>
    </row>
    <row r="12" spans="1:10" x14ac:dyDescent="0.25">
      <c r="A12" s="560" t="s">
        <v>67</v>
      </c>
      <c r="B12" s="561">
        <f t="shared" si="0"/>
        <v>0</v>
      </c>
      <c r="C12" s="562"/>
      <c r="D12" s="561">
        <f t="shared" si="3"/>
        <v>0</v>
      </c>
      <c r="E12" s="561">
        <f t="shared" si="1"/>
        <v>0</v>
      </c>
      <c r="F12" s="562"/>
      <c r="G12" s="561">
        <f t="shared" si="4"/>
        <v>0</v>
      </c>
      <c r="H12" s="561">
        <f t="shared" si="2"/>
        <v>0</v>
      </c>
      <c r="I12" s="562"/>
      <c r="J12" s="561">
        <f t="shared" si="5"/>
        <v>0</v>
      </c>
    </row>
    <row r="13" spans="1:10" x14ac:dyDescent="0.25">
      <c r="A13" s="560" t="s">
        <v>68</v>
      </c>
      <c r="B13" s="561">
        <f t="shared" si="0"/>
        <v>19354.853088471555</v>
      </c>
      <c r="C13" s="562">
        <f>'ANNEXE 1 Grille'!B10*$B$28</f>
        <v>16392.490531909414</v>
      </c>
      <c r="D13" s="561">
        <f t="shared" si="3"/>
        <v>2962.3625565621414</v>
      </c>
      <c r="E13" s="561">
        <f t="shared" si="1"/>
        <v>19790.169853437179</v>
      </c>
      <c r="F13" s="562">
        <f>'ANNEXE 1 Grille'!B10*$E$28</f>
        <v>16761.179765326062</v>
      </c>
      <c r="G13" s="561">
        <f>IF(F13&lt;&gt;0,$F$27/F$28,F13)</f>
        <v>3028.9900881111162</v>
      </c>
      <c r="H13" s="561">
        <f t="shared" si="2"/>
        <v>20208.743665904123</v>
      </c>
      <c r="I13" s="562">
        <f>'ANNEXE 1 Grille'!B10*$H$28</f>
        <v>17115.688643611298</v>
      </c>
      <c r="J13" s="561">
        <f>IF(I13&lt;&gt;0,$I$27/I$28,I13)</f>
        <v>3093.0550222928255</v>
      </c>
    </row>
    <row r="14" spans="1:10" x14ac:dyDescent="0.25">
      <c r="A14" s="560" t="s">
        <v>69</v>
      </c>
      <c r="B14" s="561">
        <f t="shared" si="0"/>
        <v>11448.627697201835</v>
      </c>
      <c r="C14" s="562">
        <f>'ANNEXE 1 Grille'!B11*$B$28</f>
        <v>8486.2651406396926</v>
      </c>
      <c r="D14" s="561">
        <f t="shared" si="3"/>
        <v>2962.3625565621414</v>
      </c>
      <c r="E14" s="561">
        <f t="shared" si="1"/>
        <v>11706.1227838171</v>
      </c>
      <c r="F14" s="562">
        <f>'ANNEXE 1 Grille'!B11*$E$28</f>
        <v>8677.1326957059828</v>
      </c>
      <c r="G14" s="561">
        <f>IF(F14&lt;&gt;0,$F$27/F$28,F14)</f>
        <v>3028.9900881111162</v>
      </c>
      <c r="H14" s="561">
        <f t="shared" si="2"/>
        <v>11953.714213254856</v>
      </c>
      <c r="I14" s="562">
        <f>'ANNEXE 1 Grille'!B11*$H$28</f>
        <v>8860.6591909620311</v>
      </c>
      <c r="J14" s="561">
        <f>IF(I14&lt;&gt;0,$I$27/I$28,I14)</f>
        <v>3093.0550222928255</v>
      </c>
    </row>
    <row r="15" spans="1:10" x14ac:dyDescent="0.25">
      <c r="A15" s="560" t="s">
        <v>70</v>
      </c>
      <c r="B15" s="561">
        <f t="shared" si="0"/>
        <v>10459.636384541178</v>
      </c>
      <c r="C15" s="562">
        <f>'ANNEXE 1 Grille'!B12*$B$28</f>
        <v>7497.2738279790365</v>
      </c>
      <c r="D15" s="561">
        <f t="shared" si="3"/>
        <v>2962.3625565621414</v>
      </c>
      <c r="E15" s="561">
        <f t="shared" si="1"/>
        <v>10694.88772190975</v>
      </c>
      <c r="F15" s="562">
        <f>'ANNEXE 1 Grille'!B12*$E$28</f>
        <v>7665.8976337986342</v>
      </c>
      <c r="G15" s="561">
        <f>IF(F15&lt;&gt;0,$F$27/F$28,F15)</f>
        <v>3028.9900881111162</v>
      </c>
      <c r="H15" s="561">
        <f t="shared" si="2"/>
        <v>10921.090930917995</v>
      </c>
      <c r="I15" s="562">
        <f>'ANNEXE 1 Grille'!B12*$H$28</f>
        <v>7828.0359086251701</v>
      </c>
      <c r="J15" s="561">
        <f>IF(I15&lt;&gt;0,$I$27/I$28,I15)</f>
        <v>3093.0550222928255</v>
      </c>
    </row>
    <row r="16" spans="1:10" x14ac:dyDescent="0.25">
      <c r="A16" s="560" t="s">
        <v>71</v>
      </c>
      <c r="B16" s="561">
        <f t="shared" si="0"/>
        <v>0</v>
      </c>
      <c r="C16" s="562"/>
      <c r="D16" s="561">
        <f t="shared" si="3"/>
        <v>0</v>
      </c>
      <c r="E16" s="561">
        <f t="shared" si="1"/>
        <v>0</v>
      </c>
      <c r="F16" s="562"/>
      <c r="G16" s="561">
        <f t="shared" si="4"/>
        <v>0</v>
      </c>
      <c r="H16" s="561">
        <f t="shared" si="2"/>
        <v>0</v>
      </c>
      <c r="I16" s="562"/>
      <c r="J16" s="561">
        <f t="shared" si="5"/>
        <v>0</v>
      </c>
    </row>
    <row r="17" spans="1:10" x14ac:dyDescent="0.25">
      <c r="A17" s="560" t="s">
        <v>72</v>
      </c>
      <c r="B17" s="561">
        <f t="shared" si="0"/>
        <v>7336.2874526084033</v>
      </c>
      <c r="C17" s="562">
        <f>'ANNEXE 1 Grille'!B14*$B$28</f>
        <v>4373.9248960462619</v>
      </c>
      <c r="D17" s="561">
        <f t="shared" si="3"/>
        <v>2962.3625565621414</v>
      </c>
      <c r="E17" s="561">
        <f t="shared" si="1"/>
        <v>7501.2904575978646</v>
      </c>
      <c r="F17" s="562">
        <f>'ANNEXE 1 Grille'!B14*$E$28</f>
        <v>4472.3003694867484</v>
      </c>
      <c r="G17" s="561">
        <f>IF(F17&lt;&gt;0,$F$27/F$28,F17)</f>
        <v>3028.9900881111162</v>
      </c>
      <c r="H17" s="561">
        <f t="shared" si="2"/>
        <v>7659.9471931646585</v>
      </c>
      <c r="I17" s="562">
        <f>'ANNEXE 1 Grille'!B14*$H$28</f>
        <v>4566.8921708718326</v>
      </c>
      <c r="J17" s="561">
        <f>IF(I17&lt;&gt;0,$I$27/I$28,I17)</f>
        <v>3093.0550222928255</v>
      </c>
    </row>
    <row r="18" spans="1:10" x14ac:dyDescent="0.25">
      <c r="A18" s="560" t="s">
        <v>73</v>
      </c>
      <c r="B18" s="561">
        <f t="shared" si="0"/>
        <v>12314.177518340497</v>
      </c>
      <c r="C18" s="562">
        <f>'ANNEXE 1 Grille'!B15*$B$28</f>
        <v>9351.8149617783565</v>
      </c>
      <c r="D18" s="561">
        <f t="shared" si="3"/>
        <v>2962.3625565621414</v>
      </c>
      <c r="E18" s="561">
        <f t="shared" si="1"/>
        <v>12591.139988476185</v>
      </c>
      <c r="F18" s="562">
        <f>'ANNEXE 1 Grille'!B15*$E$28</f>
        <v>9562.1499003650679</v>
      </c>
      <c r="G18" s="561">
        <f>IF(F18&lt;&gt;0,$F$27/F$28,F18)</f>
        <v>3028.9900881111162</v>
      </c>
      <c r="H18" s="561">
        <f t="shared" si="2"/>
        <v>12857.450055914345</v>
      </c>
      <c r="I18" s="562">
        <f>'ANNEXE 1 Grille'!B15*$H$28</f>
        <v>9764.3950336215203</v>
      </c>
      <c r="J18" s="561">
        <f>IF(I18&lt;&gt;0,$I$27/I$28,I18)</f>
        <v>3093.0550222928255</v>
      </c>
    </row>
    <row r="19" spans="1:10" x14ac:dyDescent="0.25">
      <c r="A19" s="560" t="s">
        <v>74</v>
      </c>
      <c r="B19" s="561">
        <f t="shared" si="0"/>
        <v>0</v>
      </c>
      <c r="C19" s="562"/>
      <c r="D19" s="561">
        <f t="shared" si="3"/>
        <v>0</v>
      </c>
      <c r="E19" s="561">
        <f t="shared" si="1"/>
        <v>0</v>
      </c>
      <c r="F19" s="562"/>
      <c r="G19" s="561">
        <f t="shared" si="4"/>
        <v>0</v>
      </c>
      <c r="H19" s="561">
        <f t="shared" si="2"/>
        <v>0</v>
      </c>
      <c r="I19" s="562"/>
      <c r="J19" s="561">
        <f t="shared" si="5"/>
        <v>0</v>
      </c>
    </row>
    <row r="20" spans="1:10" x14ac:dyDescent="0.25">
      <c r="A20" s="560" t="s">
        <v>75</v>
      </c>
      <c r="B20" s="561">
        <f t="shared" si="0"/>
        <v>0</v>
      </c>
      <c r="C20" s="562"/>
      <c r="D20" s="561">
        <f t="shared" si="3"/>
        <v>0</v>
      </c>
      <c r="E20" s="561">
        <f t="shared" si="1"/>
        <v>0</v>
      </c>
      <c r="F20" s="562"/>
      <c r="G20" s="561">
        <f t="shared" si="4"/>
        <v>0</v>
      </c>
      <c r="H20" s="561">
        <f t="shared" si="2"/>
        <v>0</v>
      </c>
      <c r="I20" s="562"/>
      <c r="J20" s="561">
        <f t="shared" si="5"/>
        <v>0</v>
      </c>
    </row>
    <row r="21" spans="1:10" x14ac:dyDescent="0.25">
      <c r="A21" s="560" t="s">
        <v>76</v>
      </c>
      <c r="B21" s="561">
        <f t="shared" si="0"/>
        <v>0</v>
      </c>
      <c r="C21" s="562"/>
      <c r="D21" s="561">
        <f t="shared" si="3"/>
        <v>0</v>
      </c>
      <c r="E21" s="561">
        <f t="shared" si="1"/>
        <v>0</v>
      </c>
      <c r="F21" s="562"/>
      <c r="G21" s="561">
        <f t="shared" si="4"/>
        <v>0</v>
      </c>
      <c r="H21" s="561">
        <f t="shared" si="2"/>
        <v>0</v>
      </c>
      <c r="I21" s="562"/>
      <c r="J21" s="561">
        <f t="shared" si="5"/>
        <v>0</v>
      </c>
    </row>
    <row r="22" spans="1:10" x14ac:dyDescent="0.25">
      <c r="A22" s="560" t="s">
        <v>77</v>
      </c>
      <c r="B22" s="561">
        <f t="shared" si="0"/>
        <v>0</v>
      </c>
      <c r="C22" s="562"/>
      <c r="D22" s="561">
        <f t="shared" si="3"/>
        <v>0</v>
      </c>
      <c r="E22" s="561">
        <f t="shared" si="1"/>
        <v>0</v>
      </c>
      <c r="F22" s="562"/>
      <c r="G22" s="561">
        <f t="shared" si="4"/>
        <v>0</v>
      </c>
      <c r="H22" s="561">
        <f t="shared" si="2"/>
        <v>0</v>
      </c>
      <c r="I22" s="562"/>
      <c r="J22" s="561">
        <f t="shared" si="5"/>
        <v>0</v>
      </c>
    </row>
    <row r="23" spans="1:10" x14ac:dyDescent="0.25">
      <c r="A23" s="560" t="s">
        <v>78</v>
      </c>
      <c r="B23" s="561">
        <f t="shared" si="0"/>
        <v>15200.203532883403</v>
      </c>
      <c r="C23" s="562">
        <f>'ANNEXE 1 Grille'!B20*$B$28</f>
        <v>12237.84097632126</v>
      </c>
      <c r="D23" s="561">
        <f t="shared" si="3"/>
        <v>2962.3625565621414</v>
      </c>
      <c r="E23" s="561">
        <f t="shared" si="1"/>
        <v>15542.07662272334</v>
      </c>
      <c r="F23" s="562">
        <f>'ANNEXE 1 Grille'!B20*$E$28</f>
        <v>12513.086534612223</v>
      </c>
      <c r="G23" s="561">
        <f>IF(F23&lt;&gt;0,$F$27/F$28,F23)</f>
        <v>3028.9900881111162</v>
      </c>
      <c r="H23" s="561">
        <f t="shared" si="2"/>
        <v>15870.800747569436</v>
      </c>
      <c r="I23" s="562">
        <f>'ANNEXE 1 Grille'!B20*$H$28</f>
        <v>12777.745725276611</v>
      </c>
      <c r="J23" s="561">
        <f>IF(I23&lt;&gt;0,$I$27/I$28,I23)</f>
        <v>3093.0550222928255</v>
      </c>
    </row>
    <row r="24" spans="1:10" x14ac:dyDescent="0.25">
      <c r="A24" s="560" t="s">
        <v>79</v>
      </c>
      <c r="B24" s="561">
        <f t="shared" si="0"/>
        <v>0</v>
      </c>
      <c r="C24" s="562"/>
      <c r="D24" s="561">
        <f t="shared" si="3"/>
        <v>0</v>
      </c>
      <c r="E24" s="561">
        <f t="shared" si="1"/>
        <v>0</v>
      </c>
      <c r="F24" s="562"/>
      <c r="G24" s="561">
        <f t="shared" si="4"/>
        <v>0</v>
      </c>
      <c r="H24" s="561">
        <f t="shared" si="2"/>
        <v>0</v>
      </c>
      <c r="I24" s="562"/>
      <c r="J24" s="561">
        <f t="shared" si="5"/>
        <v>0</v>
      </c>
    </row>
    <row r="25" spans="1:10" x14ac:dyDescent="0.25">
      <c r="A25" s="563" t="s">
        <v>80</v>
      </c>
      <c r="B25" s="561">
        <f t="shared" si="0"/>
        <v>0</v>
      </c>
      <c r="C25" s="562"/>
      <c r="D25" s="561">
        <f t="shared" si="3"/>
        <v>0</v>
      </c>
      <c r="E25" s="561">
        <f t="shared" si="1"/>
        <v>0</v>
      </c>
      <c r="F25" s="562"/>
      <c r="G25" s="561">
        <f t="shared" si="4"/>
        <v>0</v>
      </c>
      <c r="H25" s="561">
        <f t="shared" si="2"/>
        <v>0</v>
      </c>
      <c r="I25" s="562"/>
      <c r="J25" s="561">
        <f t="shared" si="5"/>
        <v>0</v>
      </c>
    </row>
    <row r="26" spans="1:10" x14ac:dyDescent="0.25">
      <c r="A26" s="560" t="s">
        <v>81</v>
      </c>
      <c r="B26" s="561">
        <f t="shared" si="0"/>
        <v>0</v>
      </c>
      <c r="C26" s="562"/>
      <c r="D26" s="561">
        <f t="shared" si="3"/>
        <v>0</v>
      </c>
      <c r="E26" s="561">
        <f t="shared" si="1"/>
        <v>0</v>
      </c>
      <c r="F26" s="562"/>
      <c r="G26" s="561">
        <f t="shared" si="4"/>
        <v>0</v>
      </c>
      <c r="H26" s="561">
        <f t="shared" si="2"/>
        <v>0</v>
      </c>
      <c r="I26" s="562"/>
      <c r="J26" s="561">
        <f t="shared" si="5"/>
        <v>0</v>
      </c>
    </row>
    <row r="27" spans="1:10" x14ac:dyDescent="0.25">
      <c r="A27" s="564" t="s">
        <v>82</v>
      </c>
      <c r="B27" s="564">
        <f>SUM(B5:B26)</f>
        <v>115600.00000000003</v>
      </c>
      <c r="C27" s="564">
        <f>B28-SUM(C5:C25)</f>
        <v>26661.263009059272</v>
      </c>
      <c r="D27" s="564"/>
      <c r="E27" s="564">
        <f>SUM(E5:E26)</f>
        <v>118200</v>
      </c>
      <c r="F27" s="564">
        <f>E28-SUM(F5:F25)</f>
        <v>27260.910793000046</v>
      </c>
      <c r="G27" s="564"/>
      <c r="H27" s="564">
        <f>SUM(H5:H26)</f>
        <v>120700.00000000003</v>
      </c>
      <c r="I27" s="564">
        <f>H28-SUM(I5:I25)</f>
        <v>27837.495200635429</v>
      </c>
      <c r="J27" s="564"/>
    </row>
    <row r="28" spans="1:10" ht="34.5" customHeight="1" x14ac:dyDescent="0.25">
      <c r="A28" s="565" t="s">
        <v>82</v>
      </c>
      <c r="B28" s="566">
        <v>115600</v>
      </c>
      <c r="C28" s="567">
        <f>COUNTA(C5:C24)</f>
        <v>9</v>
      </c>
      <c r="D28" s="566"/>
      <c r="E28" s="566">
        <v>118200</v>
      </c>
      <c r="F28" s="567">
        <f>COUNTA(F5:F24)</f>
        <v>9</v>
      </c>
      <c r="G28" s="566"/>
      <c r="H28" s="566">
        <v>120700</v>
      </c>
      <c r="I28" s="567">
        <f>COUNTA(I5:I24)</f>
        <v>9</v>
      </c>
      <c r="J28" s="566"/>
    </row>
    <row r="29" spans="1:10" x14ac:dyDescent="0.25">
      <c r="A29" s="565" t="s">
        <v>83</v>
      </c>
      <c r="B29" s="568">
        <f>B27-B28</f>
        <v>0</v>
      </c>
      <c r="C29" s="565"/>
      <c r="D29" s="565"/>
      <c r="E29" s="568">
        <f>E27-E28</f>
        <v>0</v>
      </c>
      <c r="F29" s="565"/>
      <c r="G29" s="565"/>
      <c r="H29" s="568">
        <f>H27-H28</f>
        <v>0</v>
      </c>
      <c r="I29" s="565"/>
      <c r="J29" s="565"/>
    </row>
    <row r="30" spans="1:10" x14ac:dyDescent="0.25">
      <c r="A30" s="569"/>
    </row>
    <row r="31" spans="1:10" x14ac:dyDescent="0.25">
      <c r="A31" s="569"/>
    </row>
  </sheetData>
  <mergeCells count="7">
    <mergeCell ref="A1:A4"/>
    <mergeCell ref="B2:D2"/>
    <mergeCell ref="E2:G2"/>
    <mergeCell ref="H2:J2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K11" sqref="K11"/>
    </sheetView>
  </sheetViews>
  <sheetFormatPr baseColWidth="10" defaultRowHeight="15" x14ac:dyDescent="0.25"/>
  <cols>
    <col min="1" max="1" width="26.28515625" customWidth="1"/>
    <col min="2" max="2" width="19.5703125" customWidth="1"/>
    <col min="3" max="3" width="21.42578125" customWidth="1"/>
    <col min="9" max="9" width="17.5703125" customWidth="1"/>
  </cols>
  <sheetData>
    <row r="1" spans="1:9" x14ac:dyDescent="0.25">
      <c r="A1" s="948" t="s">
        <v>467</v>
      </c>
      <c r="B1" s="948"/>
      <c r="C1" s="948"/>
      <c r="D1" s="25"/>
      <c r="E1" s="25"/>
      <c r="F1" s="25"/>
      <c r="G1" s="25"/>
      <c r="H1" s="25"/>
      <c r="I1" s="25"/>
    </row>
    <row r="2" spans="1:9" ht="30" x14ac:dyDescent="0.25">
      <c r="A2" s="25"/>
      <c r="B2" s="949" t="s">
        <v>468</v>
      </c>
      <c r="C2" s="950" t="s">
        <v>469</v>
      </c>
      <c r="D2" s="951" t="s">
        <v>470</v>
      </c>
      <c r="E2" s="951" t="s">
        <v>471</v>
      </c>
      <c r="F2" s="951" t="s">
        <v>465</v>
      </c>
      <c r="G2" s="951" t="s">
        <v>51</v>
      </c>
      <c r="H2" s="951" t="s">
        <v>57</v>
      </c>
      <c r="I2" s="951" t="s">
        <v>466</v>
      </c>
    </row>
    <row r="3" spans="1:9" x14ac:dyDescent="0.25">
      <c r="A3" s="25"/>
      <c r="B3" s="952"/>
      <c r="C3" s="953">
        <v>13000</v>
      </c>
      <c r="D3" s="954"/>
      <c r="E3" s="954"/>
      <c r="F3" s="954"/>
      <c r="G3" s="954"/>
      <c r="H3" s="954"/>
      <c r="I3" s="954"/>
    </row>
    <row r="4" spans="1:9" x14ac:dyDescent="0.25">
      <c r="A4" s="955" t="s">
        <v>472</v>
      </c>
      <c r="B4" s="956">
        <f>C4+D4</f>
        <v>9109.5002164965936</v>
      </c>
      <c r="C4" s="956">
        <v>523.72651559171027</v>
      </c>
      <c r="D4" s="608">
        <f>SUM(E4:I4)</f>
        <v>8585.7737009048833</v>
      </c>
      <c r="E4" s="961">
        <f>'COUT PAR IP DES OUTILS'!F5</f>
        <v>2337.5226387346547</v>
      </c>
      <c r="F4" s="608">
        <f>'COUT PAR IP DES OUTILS'!G5</f>
        <v>1079.4713750579433</v>
      </c>
      <c r="G4" s="608">
        <f>'COUT PAR IP DES OUTILS'!H5</f>
        <v>4068.9657662539394</v>
      </c>
      <c r="H4" s="608">
        <f>'COUT PAR IP DES OUTILS'!N5</f>
        <v>1099.8139208583464</v>
      </c>
      <c r="I4" s="608">
        <v>0</v>
      </c>
    </row>
    <row r="5" spans="1:9" x14ac:dyDescent="0.25">
      <c r="A5" s="955" t="s">
        <v>473</v>
      </c>
      <c r="B5" s="956">
        <f t="shared" ref="B5:B24" si="0">C5+D5</f>
        <v>5487.8465955247193</v>
      </c>
      <c r="C5" s="956">
        <v>319.77532442378458</v>
      </c>
      <c r="D5" s="608">
        <f>SUM(E5:I5)</f>
        <v>5168.0712711009346</v>
      </c>
      <c r="E5" s="961">
        <f>'COUT PAR IP DES OUTILS'!F6</f>
        <v>1532.989209594693</v>
      </c>
      <c r="F5" s="608">
        <f>'COUT PAR IP DES OUTILS'!G6</f>
        <v>674.01183793546545</v>
      </c>
      <c r="G5" s="608">
        <f>'COUT PAR IP DES OUTILS'!H6</f>
        <v>2961.0702235707768</v>
      </c>
      <c r="H5" s="608">
        <f>'COUT PAR IP DES OUTILS'!N6</f>
        <v>0</v>
      </c>
      <c r="I5" s="608">
        <v>0</v>
      </c>
    </row>
    <row r="6" spans="1:9" x14ac:dyDescent="0.25">
      <c r="A6" s="955" t="s">
        <v>474</v>
      </c>
      <c r="B6" s="956">
        <f t="shared" si="0"/>
        <v>4071.1328267752915</v>
      </c>
      <c r="C6" s="956">
        <v>158.62870424171993</v>
      </c>
      <c r="D6" s="608">
        <f t="shared" ref="D5:D24" si="1">SUM(E6:I6)</f>
        <v>3912.5041225335717</v>
      </c>
      <c r="E6" s="961">
        <f>'COUT PAR IP DES OUTILS'!F7</f>
        <v>884.44301650949524</v>
      </c>
      <c r="F6" s="608">
        <f>'COUT PAR IP DES OUTILS'!G7</f>
        <v>347.16496032098246</v>
      </c>
      <c r="G6" s="608">
        <f>'COUT PAR IP DES OUTILS'!H7</f>
        <v>2067.9793829436617</v>
      </c>
      <c r="H6" s="608">
        <f>'COUT PAR IP DES OUTILS'!N7</f>
        <v>612.91676275943269</v>
      </c>
      <c r="I6" s="608">
        <v>0</v>
      </c>
    </row>
    <row r="7" spans="1:9" x14ac:dyDescent="0.25">
      <c r="A7" s="955" t="s">
        <v>475</v>
      </c>
      <c r="B7" s="956">
        <f t="shared" si="0"/>
        <v>30924.383833888805</v>
      </c>
      <c r="C7" s="956">
        <v>1833.0428045709859</v>
      </c>
      <c r="D7" s="608">
        <f t="shared" si="1"/>
        <v>29091.34102931782</v>
      </c>
      <c r="E7" s="961">
        <f>'COUT PAR IP DES OUTILS'!F8</f>
        <v>7831.9834112470962</v>
      </c>
      <c r="F7" s="608">
        <f>'COUT PAR IP DES OUTILS'!G8</f>
        <v>3848.5067449641797</v>
      </c>
      <c r="G7" s="608">
        <f>'COUT PAR IP DES OUTILS'!H8</f>
        <v>11635.200280363902</v>
      </c>
      <c r="H7" s="608">
        <f>'COUT PAR IP DES OUTILS'!N8</f>
        <v>2940.8949562702751</v>
      </c>
      <c r="I7" s="608">
        <v>2834.7556364723691</v>
      </c>
    </row>
    <row r="8" spans="1:9" x14ac:dyDescent="0.25">
      <c r="A8" s="955" t="s">
        <v>476</v>
      </c>
      <c r="B8" s="956">
        <f t="shared" si="0"/>
        <v>16592.422914051414</v>
      </c>
      <c r="C8" s="956">
        <v>983.2461747046292</v>
      </c>
      <c r="D8" s="608">
        <f t="shared" si="1"/>
        <v>15609.176739346785</v>
      </c>
      <c r="E8" s="961">
        <f>'COUT PAR IP DES OUTILS'!F9</f>
        <v>3898.3574486813736</v>
      </c>
      <c r="F8" s="608">
        <f>'COUT PAR IP DES OUTILS'!G9</f>
        <v>1866.0830143557205</v>
      </c>
      <c r="G8" s="608">
        <f>'COUT PAR IP DES OUTILS'!H9</f>
        <v>6218.3381430527925</v>
      </c>
      <c r="H8" s="608">
        <f>'COUT PAR IP DES OUTILS'!N9</f>
        <v>1622.8176307728445</v>
      </c>
      <c r="I8" s="608">
        <v>2003.5805024840545</v>
      </c>
    </row>
    <row r="9" spans="1:9" x14ac:dyDescent="0.25">
      <c r="A9" s="955" t="s">
        <v>477</v>
      </c>
      <c r="B9" s="956">
        <f t="shared" si="0"/>
        <v>2888.682292883313</v>
      </c>
      <c r="C9" s="956">
        <v>50.35831880689522</v>
      </c>
      <c r="D9" s="608">
        <f t="shared" si="1"/>
        <v>2838.3239740764179</v>
      </c>
      <c r="E9" s="608">
        <f>'COUT PAR IP DES OUTILS'!F10</f>
        <v>415.0700874248069</v>
      </c>
      <c r="F9" s="608">
        <f>'COUT PAR IP DES OUTILS'!G10</f>
        <v>110.61577085107972</v>
      </c>
      <c r="G9" s="608">
        <f>'COUT PAR IP DES OUTILS'!H10</f>
        <v>1421.621932582701</v>
      </c>
      <c r="H9" s="608">
        <f>'COUT PAR IP DES OUTILS'!N10</f>
        <v>455.6395277308863</v>
      </c>
      <c r="I9" s="608">
        <v>435.37665548694383</v>
      </c>
    </row>
    <row r="10" spans="1:9" x14ac:dyDescent="0.25">
      <c r="A10" s="955" t="s">
        <v>478</v>
      </c>
      <c r="B10" s="956">
        <f t="shared" si="0"/>
        <v>4962.3148807053776</v>
      </c>
      <c r="C10" s="956">
        <v>284.52450125895797</v>
      </c>
      <c r="D10" s="608">
        <f t="shared" si="1"/>
        <v>4677.79037944642</v>
      </c>
      <c r="E10" s="608">
        <f>'COUT PAR IP DES OUTILS'!F11</f>
        <v>1210.545790358701</v>
      </c>
      <c r="F10" s="608">
        <f>'COUT PAR IP DES OUTILS'!G11</f>
        <v>511.51049892787222</v>
      </c>
      <c r="G10" s="608">
        <f>'COUT PAR IP DES OUTILS'!H11</f>
        <v>2517.0443894659679</v>
      </c>
      <c r="H10" s="608">
        <f>'COUT PAR IP DES OUTILS'!N11</f>
        <v>0</v>
      </c>
      <c r="I10" s="608">
        <v>438.68970069387922</v>
      </c>
    </row>
    <row r="11" spans="1:9" x14ac:dyDescent="0.25">
      <c r="A11" s="955" t="s">
        <v>479</v>
      </c>
      <c r="B11" s="956">
        <f t="shared" si="0"/>
        <v>15669.011318033041</v>
      </c>
      <c r="C11" s="956">
        <v>1819.1942668990896</v>
      </c>
      <c r="D11" s="608">
        <f t="shared" si="1"/>
        <v>13849.817051133952</v>
      </c>
      <c r="E11" s="608">
        <f>'COUT PAR IP DES OUTILS'!F13</f>
        <v>7412.4358763241135</v>
      </c>
      <c r="F11" s="608">
        <f>'COUT PAR IP DES OUTILS'!G13</f>
        <v>3637.0679866112864</v>
      </c>
      <c r="G11" s="608">
        <f>'COUT PAR IP DES OUTILS'!H13</f>
        <v>0</v>
      </c>
      <c r="H11" s="608">
        <f>'COUT PAR IP DES OUTILS'!N13</f>
        <v>2800.3131881985514</v>
      </c>
      <c r="I11" s="608">
        <v>0</v>
      </c>
    </row>
    <row r="12" spans="1:9" x14ac:dyDescent="0.25">
      <c r="A12" s="955" t="s">
        <v>437</v>
      </c>
      <c r="B12" s="956">
        <f t="shared" si="0"/>
        <v>1066.3374007360062</v>
      </c>
      <c r="C12" s="956">
        <v>1066.3374007360062</v>
      </c>
      <c r="D12" s="957"/>
      <c r="E12" s="957"/>
      <c r="F12" s="957"/>
      <c r="G12" s="957"/>
      <c r="H12" s="957"/>
      <c r="I12" s="957"/>
    </row>
    <row r="13" spans="1:9" x14ac:dyDescent="0.25">
      <c r="A13" s="955" t="s">
        <v>480</v>
      </c>
      <c r="B13" s="956">
        <f t="shared" si="0"/>
        <v>935.66119311851105</v>
      </c>
      <c r="C13" s="956">
        <v>104.49351152430758</v>
      </c>
      <c r="D13" s="961">
        <f t="shared" si="1"/>
        <v>831.16768159420349</v>
      </c>
      <c r="E13" s="961">
        <f>'COUT PAR IP DES OUTILS'!F12</f>
        <v>618.18725067028925</v>
      </c>
      <c r="F13" s="961">
        <f>'COUT PAR IP DES OUTILS'!G12</f>
        <v>212.98043092391421</v>
      </c>
      <c r="G13" s="961">
        <f>'COUT PAR IP DES OUTILS'!H12</f>
        <v>0</v>
      </c>
      <c r="H13" s="961">
        <f>'COUT PAR IP DES OUTILS'!N12</f>
        <v>0</v>
      </c>
      <c r="I13" s="961">
        <v>0</v>
      </c>
    </row>
    <row r="14" spans="1:9" x14ac:dyDescent="0.25">
      <c r="A14" s="955" t="s">
        <v>481</v>
      </c>
      <c r="B14" s="956">
        <f t="shared" si="0"/>
        <v>4345.0687084985384</v>
      </c>
      <c r="C14" s="956">
        <v>249.27367809413133</v>
      </c>
      <c r="D14" s="608">
        <f t="shared" si="1"/>
        <v>4095.795030404407</v>
      </c>
      <c r="E14" s="608">
        <f>'COUT PAR IP DES OUTILS'!F21</f>
        <v>1160.8047505133045</v>
      </c>
      <c r="F14" s="608">
        <f>'COUT PAR IP DES OUTILS'!G21</f>
        <v>486.44257973243924</v>
      </c>
      <c r="G14" s="608">
        <f>'COUT PAR IP DES OUTILS'!H21</f>
        <v>2448.5477001586632</v>
      </c>
      <c r="H14" s="608">
        <f>'COUT PAR IP DES OUTILS'!N21</f>
        <v>0</v>
      </c>
      <c r="I14" s="608">
        <v>0</v>
      </c>
    </row>
    <row r="15" spans="1:9" x14ac:dyDescent="0.25">
      <c r="A15" s="955" t="s">
        <v>79</v>
      </c>
      <c r="B15" s="956">
        <f t="shared" si="0"/>
        <v>413.85493476955543</v>
      </c>
      <c r="C15" s="956">
        <v>37.768739105171413</v>
      </c>
      <c r="D15" s="608">
        <f t="shared" si="1"/>
        <v>376.08619566438404</v>
      </c>
      <c r="E15" s="608">
        <f>'COUT PAR IP DES OUTILS'!F24</f>
        <v>376.08619566438404</v>
      </c>
      <c r="F15" s="608">
        <f>'COUT PAR IP DES OUTILS'!G24</f>
        <v>0</v>
      </c>
      <c r="G15" s="608">
        <f>'COUT PAR IP DES OUTILS'!H24</f>
        <v>0</v>
      </c>
      <c r="H15" s="608">
        <f>'COUT PAR IP DES OUTILS'!N24</f>
        <v>0</v>
      </c>
      <c r="I15" s="608">
        <v>0</v>
      </c>
    </row>
    <row r="16" spans="1:9" x14ac:dyDescent="0.25">
      <c r="A16" s="955" t="s">
        <v>482</v>
      </c>
      <c r="B16" s="956">
        <f t="shared" si="0"/>
        <v>15964.516650465757</v>
      </c>
      <c r="C16" s="956">
        <v>866.16308347859763</v>
      </c>
      <c r="D16" s="608">
        <f t="shared" si="1"/>
        <v>15098.35356698716</v>
      </c>
      <c r="E16" s="608">
        <f>'COUT PAR IP DES OUTILS'!F14</f>
        <v>3935.8362746869311</v>
      </c>
      <c r="F16" s="608">
        <f>'COUT PAR IP DES OUTILS'!G14</f>
        <v>1884.9711635533886</v>
      </c>
      <c r="G16" s="608">
        <f>'COUT PAR IP DES OUTILS'!H14</f>
        <v>6269.9489559446101</v>
      </c>
      <c r="H16" s="608">
        <f>'COUT PAR IP DES OUTILS'!N14</f>
        <v>1635.3760161440775</v>
      </c>
      <c r="I16" s="608">
        <v>1372.2211566581527</v>
      </c>
    </row>
    <row r="17" spans="1:9" x14ac:dyDescent="0.25">
      <c r="A17" s="955" t="s">
        <v>483</v>
      </c>
      <c r="B17" s="956">
        <f t="shared" si="0"/>
        <v>19843.225295311284</v>
      </c>
      <c r="C17" s="956">
        <v>1263.9938020530701</v>
      </c>
      <c r="D17" s="608">
        <f t="shared" si="1"/>
        <v>18579.231493258212</v>
      </c>
      <c r="E17" s="608">
        <f>'COUT PAR IP DES OUTILS'!F23</f>
        <v>5585.5143967202812</v>
      </c>
      <c r="F17" s="608">
        <f>'COUT PAR IP DES OUTILS'!G23</f>
        <v>2716.3570370723355</v>
      </c>
      <c r="G17" s="608">
        <f>'COUT PAR IP DES OUTILS'!H23</f>
        <v>8541.6644273780857</v>
      </c>
      <c r="H17" s="608">
        <f>'COUT PAR IP DES OUTILS'!N23</f>
        <v>0</v>
      </c>
      <c r="I17" s="608">
        <v>1735.6956320875086</v>
      </c>
    </row>
    <row r="18" spans="1:9" x14ac:dyDescent="0.25">
      <c r="A18" s="955" t="s">
        <v>484</v>
      </c>
      <c r="B18" s="956">
        <f t="shared" si="0"/>
        <v>572.79422180169195</v>
      </c>
      <c r="C18" s="956">
        <v>47.840402866550455</v>
      </c>
      <c r="D18" s="608">
        <f t="shared" si="1"/>
        <v>524.9538189351415</v>
      </c>
      <c r="E18" s="608">
        <f>'COUT PAR IP DES OUTILS'!F16</f>
        <v>414.58334895814107</v>
      </c>
      <c r="F18" s="608">
        <f>'COUT PAR IP DES OUTILS'!G16</f>
        <v>110.37046997700045</v>
      </c>
      <c r="G18" s="608">
        <f>'COUT PAR IP DES OUTILS'!H16</f>
        <v>0</v>
      </c>
      <c r="H18" s="608">
        <f>'COUT PAR IP DES OUTILS'!N16</f>
        <v>0</v>
      </c>
      <c r="I18" s="608">
        <v>0</v>
      </c>
    </row>
    <row r="19" spans="1:9" x14ac:dyDescent="0.25">
      <c r="A19" s="955" t="s">
        <v>485</v>
      </c>
      <c r="B19" s="956">
        <f t="shared" si="0"/>
        <v>9903.8071935510216</v>
      </c>
      <c r="C19" s="956">
        <v>512.39589386015894</v>
      </c>
      <c r="D19" s="608">
        <f t="shared" si="1"/>
        <v>9391.4112996908625</v>
      </c>
      <c r="E19" s="608">
        <f>'COUT PAR IP DES OUTILS'!F17</f>
        <v>2127.5194422402888</v>
      </c>
      <c r="F19" s="608">
        <f>'COUT PAR IP DES OUTILS'!G17</f>
        <v>973.63637086691972</v>
      </c>
      <c r="G19" s="608">
        <f>'COUT PAR IP DES OUTILS'!H17</f>
        <v>3779.7775275575841</v>
      </c>
      <c r="H19" s="608">
        <f>'COUT PAR IP DES OUTILS'!N17</f>
        <v>1029.4461598624175</v>
      </c>
      <c r="I19" s="608">
        <v>1481.0317991636525</v>
      </c>
    </row>
    <row r="20" spans="1:9" x14ac:dyDescent="0.25">
      <c r="A20" s="955" t="s">
        <v>486</v>
      </c>
      <c r="B20" s="956">
        <f t="shared" si="0"/>
        <v>4715.6219529700402</v>
      </c>
      <c r="C20" s="956">
        <v>211.50493898895991</v>
      </c>
      <c r="D20" s="608">
        <f t="shared" si="1"/>
        <v>4504.1170139810802</v>
      </c>
      <c r="E20" s="608">
        <f>'COUT PAR IP DES OUTILS'!F19</f>
        <v>1068.3957336364367</v>
      </c>
      <c r="F20" s="608">
        <f>'COUT PAR IP DES OUTILS'!G19</f>
        <v>439.87134247646713</v>
      </c>
      <c r="G20" s="608">
        <f>'COUT PAR IP DES OUTILS'!H19</f>
        <v>2321.294395083376</v>
      </c>
      <c r="H20" s="608">
        <f>'COUT PAR IP DES OUTILS'!N19</f>
        <v>674.55554278480054</v>
      </c>
      <c r="I20" s="608">
        <v>0</v>
      </c>
    </row>
    <row r="21" spans="1:9" x14ac:dyDescent="0.25">
      <c r="A21" s="955" t="s">
        <v>487</v>
      </c>
      <c r="B21" s="956">
        <f t="shared" si="0"/>
        <v>621.84973772145747</v>
      </c>
      <c r="C21" s="956">
        <v>61.688940538446637</v>
      </c>
      <c r="D21" s="608">
        <f t="shared" si="1"/>
        <v>560.1607971830108</v>
      </c>
      <c r="E21" s="608">
        <f>'COUT PAR IP DES OUTILS'!F22</f>
        <v>437.99273374730092</v>
      </c>
      <c r="F21" s="608">
        <f>'COUT PAR IP DES OUTILS'!G22</f>
        <v>122.16806343570994</v>
      </c>
      <c r="G21" s="608">
        <f>'COUT PAR IP DES OUTILS'!H22</f>
        <v>0</v>
      </c>
      <c r="H21" s="608">
        <f>'COUT PAR IP DES OUTILS'!N22</f>
        <v>0</v>
      </c>
      <c r="I21" s="608">
        <v>0</v>
      </c>
    </row>
    <row r="22" spans="1:9" x14ac:dyDescent="0.25">
      <c r="A22" s="955" t="s">
        <v>488</v>
      </c>
      <c r="B22" s="956">
        <f t="shared" si="0"/>
        <v>7819.2015868518574</v>
      </c>
      <c r="C22" s="956">
        <v>382.72322293240364</v>
      </c>
      <c r="D22" s="608">
        <f t="shared" si="1"/>
        <v>7436.4783639194538</v>
      </c>
      <c r="E22" s="608">
        <f>'COUT PAR IP DES OUTILS'!F20</f>
        <v>1767.0572019291021</v>
      </c>
      <c r="F22" s="608">
        <f>'COUT PAR IP DES OUTILS'!G20</f>
        <v>791.97474213517023</v>
      </c>
      <c r="G22" s="608">
        <f>'COUT PAR IP DES OUTILS'!H20</f>
        <v>3283.3972717697588</v>
      </c>
      <c r="H22" s="608">
        <f>'COUT PAR IP DES OUTILS'!N20</f>
        <v>908.66266133621707</v>
      </c>
      <c r="I22" s="608">
        <v>685.38648674920591</v>
      </c>
    </row>
    <row r="23" spans="1:9" x14ac:dyDescent="0.25">
      <c r="A23" s="955" t="s">
        <v>489</v>
      </c>
      <c r="B23" s="956">
        <f t="shared" si="0"/>
        <v>15004.417580285968</v>
      </c>
      <c r="C23" s="956">
        <v>790.62560526825484</v>
      </c>
      <c r="D23" s="608">
        <f t="shared" si="1"/>
        <v>14213.791975017713</v>
      </c>
      <c r="E23" s="608">
        <f>'COUT PAR IP DES OUTILS'!F15</f>
        <v>3500.9477364199383</v>
      </c>
      <c r="F23" s="608">
        <f>'COUT PAR IP DES OUTILS'!G15</f>
        <v>1665.8010221534214</v>
      </c>
      <c r="G23" s="608">
        <f>'COUT PAR IP DES OUTILS'!H15</f>
        <v>5671.0787839182613</v>
      </c>
      <c r="H23" s="608">
        <f>'COUT PAR IP DES OUTILS'!N15</f>
        <v>1489.6537927137233</v>
      </c>
      <c r="I23" s="608">
        <v>1886.3106398123691</v>
      </c>
    </row>
    <row r="24" spans="1:9" x14ac:dyDescent="0.25">
      <c r="A24" s="955" t="s">
        <v>490</v>
      </c>
      <c r="B24" s="956">
        <f t="shared" si="0"/>
        <v>18066.702841602797</v>
      </c>
      <c r="C24" s="956">
        <v>989.54096455549097</v>
      </c>
      <c r="D24" s="608">
        <f t="shared" si="1"/>
        <v>17077.161877047307</v>
      </c>
      <c r="E24" s="608">
        <f>'COUT PAR IP DES OUTILS'!F18</f>
        <v>4316.4439622302971</v>
      </c>
      <c r="F24" s="608">
        <f>'COUT PAR IP DES OUTILS'!G18</f>
        <v>2076.7854639008056</v>
      </c>
      <c r="G24" s="608">
        <f>'COUT PAR IP DES OUTILS'!H18</f>
        <v>6794.0708199559122</v>
      </c>
      <c r="H24" s="608">
        <f>'COUT PAR IP DES OUTILS'!N18</f>
        <v>1762.9098405684276</v>
      </c>
      <c r="I24" s="608">
        <v>2126.9517903918654</v>
      </c>
    </row>
    <row r="25" spans="1:9" ht="15.75" x14ac:dyDescent="0.25">
      <c r="A25" s="958" t="s">
        <v>491</v>
      </c>
      <c r="B25" s="956">
        <f>SUM(B4:B24)</f>
        <v>188978.35417604301</v>
      </c>
      <c r="C25" s="956">
        <v>12556.846794499321</v>
      </c>
      <c r="D25" s="956">
        <f t="shared" ref="D25:I25" si="2">SUM(D4:D24)</f>
        <v>176421.50738154372</v>
      </c>
      <c r="E25" s="956">
        <f t="shared" si="2"/>
        <v>50832.716506291625</v>
      </c>
      <c r="F25" s="956">
        <f t="shared" si="2"/>
        <v>23555.790875252103</v>
      </c>
      <c r="G25" s="956">
        <f t="shared" si="2"/>
        <v>70000</v>
      </c>
      <c r="H25" s="956">
        <f t="shared" si="2"/>
        <v>17033</v>
      </c>
      <c r="I25" s="956">
        <v>15000.000000000002</v>
      </c>
    </row>
    <row r="26" spans="1:9" ht="15.75" x14ac:dyDescent="0.25">
      <c r="A26" s="958"/>
      <c r="B26" s="959"/>
      <c r="C26" s="959"/>
      <c r="D26" s="25"/>
      <c r="E26" s="25"/>
      <c r="F26" s="25"/>
      <c r="G26" s="25"/>
      <c r="H26" s="25"/>
      <c r="I26" s="25"/>
    </row>
    <row r="27" spans="1:9" ht="15.75" x14ac:dyDescent="0.25">
      <c r="A27" s="960" t="s">
        <v>492</v>
      </c>
      <c r="B27" s="956">
        <f>C27+D27</f>
        <v>2477.7551425452289</v>
      </c>
      <c r="C27" s="956">
        <v>415.45613015688554</v>
      </c>
      <c r="D27" s="608">
        <f t="shared" ref="D27" si="3">SUM(E27:I27)</f>
        <v>2062.2990123883433</v>
      </c>
      <c r="E27" s="608">
        <f>'COUT PAR IP DES OUTILS'!F25</f>
        <v>0</v>
      </c>
      <c r="F27" s="608">
        <f>'COUT PAR IP DES OUTILS'!G25</f>
        <v>2062.2990123883433</v>
      </c>
      <c r="G27" s="608">
        <f>'COUT PAR IP DES OUTILS'!H25</f>
        <v>0</v>
      </c>
      <c r="H27" s="608">
        <f>'COUT PAR IP DES OUTILS'!N25</f>
        <v>0</v>
      </c>
      <c r="I27" s="608">
        <v>0</v>
      </c>
    </row>
    <row r="28" spans="1:9" ht="15.75" x14ac:dyDescent="0.25">
      <c r="A28" s="960" t="s">
        <v>493</v>
      </c>
      <c r="B28" s="956">
        <f>C28+D28</f>
        <v>27.697075343792374</v>
      </c>
      <c r="C28" s="956">
        <v>27.697075343792374</v>
      </c>
      <c r="D28" s="957"/>
      <c r="E28" s="957"/>
      <c r="F28" s="957"/>
      <c r="G28" s="957"/>
      <c r="H28" s="957"/>
      <c r="I28" s="957"/>
    </row>
    <row r="29" spans="1:9" ht="15.75" x14ac:dyDescent="0.25">
      <c r="A29" s="958" t="s">
        <v>43</v>
      </c>
      <c r="B29" s="154">
        <f>B25+B27+B28</f>
        <v>191483.80639393203</v>
      </c>
      <c r="C29" s="154">
        <v>12999.999999999998</v>
      </c>
      <c r="D29" s="154">
        <f t="shared" ref="D29:H29" si="4">D25+D27+D28</f>
        <v>178483.80639393206</v>
      </c>
      <c r="E29" s="154">
        <f t="shared" si="4"/>
        <v>50832.716506291625</v>
      </c>
      <c r="F29" s="154">
        <f t="shared" si="4"/>
        <v>25618.089887640446</v>
      </c>
      <c r="G29" s="154">
        <f t="shared" si="4"/>
        <v>70000</v>
      </c>
      <c r="H29" s="154">
        <f t="shared" si="4"/>
        <v>17033</v>
      </c>
      <c r="I29" s="154">
        <v>15000.000000000002</v>
      </c>
    </row>
    <row r="30" spans="1:9" x14ac:dyDescent="0.25">
      <c r="A30" s="25"/>
      <c r="B30" s="25"/>
      <c r="C30" s="25"/>
      <c r="D30" s="25"/>
      <c r="E30" s="25"/>
      <c r="F30" s="25"/>
      <c r="G30" s="25"/>
      <c r="H30" s="25"/>
      <c r="I30" s="2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O25"/>
  <sheetViews>
    <sheetView workbookViewId="0">
      <selection activeCell="G26" sqref="G26"/>
    </sheetView>
  </sheetViews>
  <sheetFormatPr baseColWidth="10" defaultColWidth="9.140625" defaultRowHeight="15" x14ac:dyDescent="0.25"/>
  <cols>
    <col min="1" max="1" width="21.28515625" style="144" customWidth="1"/>
    <col min="2" max="2" width="20.42578125" style="27" customWidth="1"/>
  </cols>
  <sheetData>
    <row r="1" spans="1:949" s="1" customFormat="1" ht="60" x14ac:dyDescent="0.25">
      <c r="A1" s="146" t="s">
        <v>42</v>
      </c>
      <c r="B1" s="147" t="s">
        <v>436</v>
      </c>
      <c r="C1" s="14"/>
    </row>
    <row r="2" spans="1:949" x14ac:dyDescent="0.25">
      <c r="A2" s="148" t="s">
        <v>60</v>
      </c>
      <c r="B2" s="176">
        <v>4.1967981106838484E-2</v>
      </c>
      <c r="C2" s="1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1"/>
    </row>
    <row r="3" spans="1:949" x14ac:dyDescent="0.25">
      <c r="A3" s="148" t="s">
        <v>61</v>
      </c>
      <c r="B3" s="176">
        <v>2.6140901925650443E-2</v>
      </c>
      <c r="C3" s="1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1"/>
    </row>
    <row r="4" spans="1:949" x14ac:dyDescent="0.25">
      <c r="A4" s="148" t="s">
        <v>62</v>
      </c>
      <c r="B4" s="176">
        <v>1.3382461345263084E-2</v>
      </c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1"/>
    </row>
    <row r="5" spans="1:949" x14ac:dyDescent="0.25">
      <c r="A5" s="148" t="s">
        <v>63</v>
      </c>
      <c r="B5" s="176">
        <v>0.15005704559412367</v>
      </c>
      <c r="C5" s="1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1"/>
    </row>
    <row r="6" spans="1:949" x14ac:dyDescent="0.25">
      <c r="A6" s="171" t="s">
        <v>64</v>
      </c>
      <c r="B6" s="176">
        <v>7.2673300775393523E-2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1"/>
    </row>
    <row r="7" spans="1:949" x14ac:dyDescent="0.25">
      <c r="A7" s="171" t="s">
        <v>65</v>
      </c>
      <c r="B7" s="176">
        <v>4.1487834829636435E-3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1"/>
    </row>
    <row r="8" spans="1:949" x14ac:dyDescent="0.25">
      <c r="A8" s="171" t="s">
        <v>66</v>
      </c>
      <c r="B8" s="176">
        <v>1.9797675724153172E-2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1"/>
    </row>
    <row r="9" spans="1:949" x14ac:dyDescent="0.25">
      <c r="A9" s="171" t="s">
        <v>67</v>
      </c>
      <c r="B9" s="176">
        <v>8.1445794428420086E-3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1"/>
    </row>
    <row r="10" spans="1:949" x14ac:dyDescent="0.25">
      <c r="A10" s="171" t="s">
        <v>68</v>
      </c>
      <c r="B10" s="176">
        <v>0.14180355131409528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1"/>
    </row>
    <row r="11" spans="1:949" x14ac:dyDescent="0.25">
      <c r="A11" s="53" t="s">
        <v>69</v>
      </c>
      <c r="B11" s="176">
        <v>7.3410598102419483E-2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1"/>
    </row>
    <row r="12" spans="1:949" x14ac:dyDescent="0.25">
      <c r="A12" s="171" t="s">
        <v>70</v>
      </c>
      <c r="B12" s="176">
        <v>6.4855309930614502E-2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1"/>
    </row>
    <row r="13" spans="1:949" x14ac:dyDescent="0.25">
      <c r="A13" s="171" t="s">
        <v>71</v>
      </c>
      <c r="B13" s="176">
        <v>4.1392081838232649E-3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1"/>
    </row>
    <row r="14" spans="1:949" x14ac:dyDescent="0.25">
      <c r="A14" s="171" t="s">
        <v>72</v>
      </c>
      <c r="B14" s="176">
        <v>3.7836720554033407E-2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1"/>
    </row>
    <row r="15" spans="1:949" x14ac:dyDescent="0.25">
      <c r="A15" s="171" t="s">
        <v>73</v>
      </c>
      <c r="B15" s="176">
        <v>8.0898053302580944E-2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1"/>
    </row>
    <row r="16" spans="1:949" x14ac:dyDescent="0.25">
      <c r="A16" s="171" t="s">
        <v>74</v>
      </c>
      <c r="B16" s="176">
        <v>1.7001247232973284E-2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1"/>
    </row>
    <row r="17" spans="1:1003" s="10" customFormat="1" x14ac:dyDescent="0.25">
      <c r="A17" s="148" t="s">
        <v>75</v>
      </c>
      <c r="B17" s="176">
        <v>3.0745574042778757E-2</v>
      </c>
      <c r="C17" s="14"/>
    </row>
    <row r="18" spans="1:1003" s="1" customFormat="1" x14ac:dyDescent="0.25">
      <c r="A18" s="148" t="s">
        <v>76</v>
      </c>
      <c r="B18" s="176">
        <v>1.8819151591191678E-2</v>
      </c>
      <c r="C18" s="14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</row>
    <row r="19" spans="1:1003" s="1" customFormat="1" x14ac:dyDescent="0.25">
      <c r="A19" s="150" t="s">
        <v>77</v>
      </c>
      <c r="B19" s="176">
        <v>4.5997262595444876E-3</v>
      </c>
      <c r="C19" s="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</row>
    <row r="20" spans="1:1003" s="1" customFormat="1" x14ac:dyDescent="0.25">
      <c r="A20" s="150" t="s">
        <v>78</v>
      </c>
      <c r="B20" s="176">
        <v>0.10586367626575485</v>
      </c>
      <c r="C20" s="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</row>
    <row r="21" spans="1:1003" s="1" customFormat="1" x14ac:dyDescent="0.25">
      <c r="A21" s="150" t="s">
        <v>79</v>
      </c>
      <c r="B21" s="176">
        <v>3.3818779457473157E-3</v>
      </c>
      <c r="C21" s="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</row>
    <row r="22" spans="1:1003" s="1" customFormat="1" x14ac:dyDescent="0.25">
      <c r="A22" s="150" t="s">
        <v>437</v>
      </c>
      <c r="B22" s="176">
        <v>8.0332575877214762E-2</v>
      </c>
      <c r="C22" s="151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</row>
    <row r="23" spans="1:1003" s="1" customFormat="1" x14ac:dyDescent="0.25">
      <c r="A23" s="171" t="s">
        <v>200</v>
      </c>
      <c r="B23" s="168">
        <f>SUM(B2:B22)</f>
        <v>1</v>
      </c>
      <c r="C23" s="151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</row>
    <row r="24" spans="1:1003" s="1" customFormat="1" x14ac:dyDescent="0.25">
      <c r="A24" s="25"/>
      <c r="B24" s="25"/>
      <c r="C24" s="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</row>
    <row r="25" spans="1:1003" x14ac:dyDescent="0.25">
      <c r="A25" s="171" t="s">
        <v>80</v>
      </c>
      <c r="B25" s="149">
        <v>0.06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48"/>
  <sheetViews>
    <sheetView zoomScale="120" zoomScaleNormal="120" workbookViewId="0">
      <pane xSplit="1" ySplit="2" topLeftCell="D3" activePane="bottomRight" state="frozen"/>
      <selection pane="topRight" activeCell="B1" sqref="B1"/>
      <selection pane="bottomLeft" activeCell="A17" sqref="A17"/>
      <selection pane="bottomRight" activeCell="A20" sqref="A20:XFD20"/>
    </sheetView>
  </sheetViews>
  <sheetFormatPr baseColWidth="10" defaultColWidth="9.5703125" defaultRowHeight="12" x14ac:dyDescent="0.2"/>
  <cols>
    <col min="1" max="1" width="10.42578125" style="205" customWidth="1"/>
    <col min="2" max="2" width="10.140625" style="231" customWidth="1"/>
    <col min="3" max="3" width="12" style="231" customWidth="1"/>
    <col min="4" max="4" width="9.5703125" style="221" customWidth="1"/>
    <col min="5" max="5" width="11.5703125" style="221" customWidth="1"/>
    <col min="6" max="8" width="9.5703125" style="221" customWidth="1"/>
    <col min="9" max="9" width="12.5703125" style="205" customWidth="1"/>
    <col min="10" max="10" width="8.85546875" style="205" customWidth="1"/>
    <col min="11" max="11" width="8.85546875" style="222" customWidth="1"/>
    <col min="12" max="12" width="8.7109375" style="210" customWidth="1"/>
    <col min="13" max="14" width="8.5703125" style="205" customWidth="1"/>
    <col min="15" max="15" width="10.85546875" style="205" customWidth="1"/>
    <col min="16" max="16" width="17.7109375" style="205" customWidth="1"/>
    <col min="17" max="16384" width="9.5703125" style="205"/>
  </cols>
  <sheetData>
    <row r="1" spans="1:16" ht="35.25" customHeight="1" x14ac:dyDescent="0.2">
      <c r="A1" s="826" t="s">
        <v>42</v>
      </c>
      <c r="B1" s="826" t="s">
        <v>43</v>
      </c>
      <c r="C1" s="827" t="s">
        <v>44</v>
      </c>
      <c r="D1" s="827"/>
      <c r="E1" s="827"/>
      <c r="F1" s="827"/>
      <c r="G1" s="827"/>
      <c r="H1" s="827"/>
      <c r="I1" s="832" t="s">
        <v>45</v>
      </c>
      <c r="J1" s="832"/>
      <c r="K1" s="832"/>
      <c r="L1" s="832"/>
      <c r="M1" s="832"/>
      <c r="N1" s="832"/>
      <c r="O1" s="832"/>
      <c r="P1" s="832"/>
    </row>
    <row r="2" spans="1:16" ht="36" customHeight="1" x14ac:dyDescent="0.2">
      <c r="A2" s="826"/>
      <c r="B2" s="826"/>
      <c r="C2" s="828" t="s">
        <v>46</v>
      </c>
      <c r="D2" s="829" t="s">
        <v>47</v>
      </c>
      <c r="E2" s="830" t="s">
        <v>48</v>
      </c>
      <c r="F2" s="831" t="s">
        <v>49</v>
      </c>
      <c r="G2" s="709" t="s">
        <v>50</v>
      </c>
      <c r="H2" s="709" t="s">
        <v>51</v>
      </c>
      <c r="I2" s="833" t="s">
        <v>52</v>
      </c>
      <c r="J2" s="829" t="s">
        <v>53</v>
      </c>
      <c r="K2" s="833" t="s">
        <v>54</v>
      </c>
      <c r="L2" s="834" t="s">
        <v>55</v>
      </c>
      <c r="M2" s="834" t="s">
        <v>56</v>
      </c>
      <c r="N2" s="710" t="s">
        <v>57</v>
      </c>
      <c r="O2" s="711" t="s">
        <v>58</v>
      </c>
      <c r="P2" s="712" t="s">
        <v>59</v>
      </c>
    </row>
    <row r="3" spans="1:16" ht="12" hidden="1" customHeight="1" x14ac:dyDescent="0.2">
      <c r="A3" s="826"/>
      <c r="B3" s="826"/>
      <c r="C3" s="828"/>
      <c r="D3" s="829"/>
      <c r="E3" s="830"/>
      <c r="F3" s="831"/>
      <c r="G3" s="544"/>
      <c r="H3" s="544"/>
      <c r="I3" s="833"/>
      <c r="J3" s="829"/>
      <c r="K3" s="833"/>
      <c r="L3" s="834"/>
      <c r="M3" s="834"/>
      <c r="N3" s="695"/>
      <c r="O3" s="832">
        <v>2018</v>
      </c>
      <c r="P3" s="604"/>
    </row>
    <row r="4" spans="1:16" ht="24" hidden="1" customHeight="1" x14ac:dyDescent="0.2">
      <c r="A4" s="826"/>
      <c r="B4" s="826"/>
      <c r="C4" s="828"/>
      <c r="D4" s="829"/>
      <c r="E4" s="830"/>
      <c r="F4" s="831"/>
      <c r="G4" s="544"/>
      <c r="H4" s="544"/>
      <c r="I4" s="833"/>
      <c r="J4" s="829"/>
      <c r="K4" s="833"/>
      <c r="L4" s="834"/>
      <c r="M4" s="834"/>
      <c r="N4" s="695"/>
      <c r="O4" s="832"/>
      <c r="P4" s="604"/>
    </row>
    <row r="5" spans="1:16" x14ac:dyDescent="0.2">
      <c r="A5" s="206" t="s">
        <v>60</v>
      </c>
      <c r="B5" s="207">
        <f>SUM(C5:P5)</f>
        <v>72986.920578628735</v>
      </c>
      <c r="C5" s="608">
        <f>'IRI FR VT'!C4</f>
        <v>35589.868646485607</v>
      </c>
      <c r="D5" s="608">
        <f>'IRI FR EFF'!B4</f>
        <v>2173.977949176372</v>
      </c>
      <c r="E5" s="548">
        <f>KANTAR!B4</f>
        <v>5650.1463178982685</v>
      </c>
      <c r="F5" s="603">
        <f>'PANEL CHR FRANCE'!F4</f>
        <v>2337.5226387346547</v>
      </c>
      <c r="G5" s="708">
        <f>'PANEL CHR FRANCE'!K4</f>
        <v>1079.4713750579433</v>
      </c>
      <c r="H5" s="708">
        <f>'RO Cavistes'!B3</f>
        <v>4068.9657662539394</v>
      </c>
      <c r="I5" s="674">
        <f>'IRI UK'!B31</f>
        <v>3863.0596163049195</v>
      </c>
      <c r="J5" s="603">
        <f>'IRI ALL'!B4</f>
        <v>2870.9177448475398</v>
      </c>
      <c r="K5" s="603">
        <f>'IRI PB'!B4</f>
        <v>3152.5722803286471</v>
      </c>
      <c r="L5" s="548">
        <f>GfK!B4</f>
        <v>1858.8264602502898</v>
      </c>
      <c r="M5" s="548">
        <f>GfK!F4</f>
        <v>1427.9166899195411</v>
      </c>
      <c r="N5" s="208">
        <f>GTI!B2</f>
        <v>1099.8139208583464</v>
      </c>
      <c r="O5" s="207">
        <f>'DETAIL MONOPOLES'!B2</f>
        <v>0</v>
      </c>
      <c r="P5" s="674">
        <f>'WINE INTELLIGENCE'!B5</f>
        <v>7813.8611725126702</v>
      </c>
    </row>
    <row r="6" spans="1:16" x14ac:dyDescent="0.2">
      <c r="A6" s="206" t="s">
        <v>61</v>
      </c>
      <c r="B6" s="207">
        <f t="shared" ref="B6:B27" si="0">SUM(C6:P6)</f>
        <v>41570.319415377162</v>
      </c>
      <c r="C6" s="608">
        <f>'IRI FR VT'!C5</f>
        <v>36402.248144276222</v>
      </c>
      <c r="D6" s="608">
        <f>'IRI FR EFF'!B5</f>
        <v>0</v>
      </c>
      <c r="E6" s="548">
        <f>KANTAR!B5</f>
        <v>0</v>
      </c>
      <c r="F6" s="603">
        <f>'PANEL CHR FRANCE'!F5</f>
        <v>1532.989209594693</v>
      </c>
      <c r="G6" s="708">
        <f>'PANEL CHR FRANCE'!K5</f>
        <v>674.01183793546545</v>
      </c>
      <c r="H6" s="708">
        <f>'RO Cavistes'!B4</f>
        <v>2961.0702235707768</v>
      </c>
      <c r="I6" s="674">
        <f>'IRI UK'!B32</f>
        <v>0</v>
      </c>
      <c r="J6" s="603">
        <f>'IRI ALL'!B5</f>
        <v>0</v>
      </c>
      <c r="K6" s="603">
        <f>'IRI PB'!B5</f>
        <v>0</v>
      </c>
      <c r="L6" s="548">
        <f>GfK!B5</f>
        <v>0</v>
      </c>
      <c r="M6" s="548">
        <f>GfK!F5</f>
        <v>0</v>
      </c>
      <c r="N6" s="208">
        <f>GTI!B3</f>
        <v>0</v>
      </c>
      <c r="O6" s="207">
        <f>'DETAIL MONOPOLES'!B3</f>
        <v>0</v>
      </c>
      <c r="P6" s="674">
        <f>'WINE INTELLIGENCE'!B6</f>
        <v>0</v>
      </c>
    </row>
    <row r="7" spans="1:16" x14ac:dyDescent="0.2">
      <c r="A7" s="206" t="s">
        <v>62</v>
      </c>
      <c r="B7" s="207">
        <f t="shared" si="0"/>
        <v>26024.567406357299</v>
      </c>
      <c r="C7" s="608">
        <f>'IRI FR VT'!C6</f>
        <v>13000.276868409977</v>
      </c>
      <c r="D7" s="608">
        <f>'IRI FR EFF'!B6</f>
        <v>0</v>
      </c>
      <c r="E7" s="548">
        <f>KANTAR!B6</f>
        <v>2732.4461859927301</v>
      </c>
      <c r="F7" s="603">
        <f>'PANEL CHR FRANCE'!F6</f>
        <v>884.44301650949524</v>
      </c>
      <c r="G7" s="708">
        <f>'PANEL CHR FRANCE'!K6</f>
        <v>347.16496032098246</v>
      </c>
      <c r="H7" s="708">
        <f>'RO Cavistes'!B5</f>
        <v>2067.9793829436617</v>
      </c>
      <c r="I7" s="674">
        <f>'IRI UK'!B33</f>
        <v>1757.0650399736214</v>
      </c>
      <c r="J7" s="603">
        <f>'IRI ALL'!B6</f>
        <v>1305.8015415606155</v>
      </c>
      <c r="K7" s="603">
        <f>'IRI PB'!B6</f>
        <v>1747.728274060235</v>
      </c>
      <c r="L7" s="548">
        <f>GfK!B6</f>
        <v>887.20818057028532</v>
      </c>
      <c r="M7" s="548">
        <f>GfK!F6</f>
        <v>681.5371932562648</v>
      </c>
      <c r="N7" s="208">
        <f>GTI!B4</f>
        <v>612.91676275943269</v>
      </c>
      <c r="O7" s="207">
        <f>'DETAIL MONOPOLES'!B4</f>
        <v>0</v>
      </c>
      <c r="P7" s="674">
        <f>'WINE INTELLIGENCE'!B7</f>
        <v>0</v>
      </c>
    </row>
    <row r="8" spans="1:16" x14ac:dyDescent="0.2">
      <c r="A8" s="206" t="s">
        <v>63</v>
      </c>
      <c r="B8" s="207">
        <f t="shared" si="0"/>
        <v>214174.23896866402</v>
      </c>
      <c r="C8" s="608">
        <f>'IRI FR VT'!C7</f>
        <v>101031.6131256217</v>
      </c>
      <c r="D8" s="608">
        <f>'IRI FR EFF'!B7</f>
        <v>5285.2347349547108</v>
      </c>
      <c r="E8" s="548">
        <f>KANTAR!B7</f>
        <v>16682.706871022088</v>
      </c>
      <c r="F8" s="603">
        <f>'PANEL CHR FRANCE'!F7</f>
        <v>7831.9834112470962</v>
      </c>
      <c r="G8" s="708">
        <f>'PANEL CHR FRANCE'!K7</f>
        <v>3848.5067449641797</v>
      </c>
      <c r="H8" s="708">
        <f>'RO Cavistes'!B6</f>
        <v>11635.200280363902</v>
      </c>
      <c r="I8" s="674">
        <f>'IRI UK'!B34</f>
        <v>14737.800737371623</v>
      </c>
      <c r="J8" s="603">
        <f>'IRI ALL'!B7</f>
        <v>8789.0171055796782</v>
      </c>
      <c r="K8" s="603">
        <f>'IRI PB'!B7</f>
        <v>8464.6420154480547</v>
      </c>
      <c r="L8" s="548">
        <f>GfK!B7</f>
        <v>5532.7603878231766</v>
      </c>
      <c r="M8" s="548">
        <f>GfK!F7</f>
        <v>4250.1659342823496</v>
      </c>
      <c r="N8" s="208">
        <f>GTI!B5</f>
        <v>2940.8949562702751</v>
      </c>
      <c r="O8" s="207">
        <f>'DETAIL MONOPOLES'!B5</f>
        <v>2834.7556364723691</v>
      </c>
      <c r="P8" s="674">
        <f>'WINE INTELLIGENCE'!B8</f>
        <v>20308.957027242835</v>
      </c>
    </row>
    <row r="9" spans="1:16" x14ac:dyDescent="0.2">
      <c r="A9" s="206" t="s">
        <v>64</v>
      </c>
      <c r="B9" s="207">
        <f t="shared" si="0"/>
        <v>94348.777371147808</v>
      </c>
      <c r="C9" s="608">
        <f>'IRI FR VT'!C8</f>
        <v>32151.681265261734</v>
      </c>
      <c r="D9" s="608">
        <f>'IRI FR EFF'!B8</f>
        <v>3057.8058797023382</v>
      </c>
      <c r="E9" s="548">
        <f>KANTAR!B8</f>
        <v>8784.2126561836412</v>
      </c>
      <c r="F9" s="603">
        <f>'PANEL CHR FRANCE'!F8</f>
        <v>3898.3574486813736</v>
      </c>
      <c r="G9" s="708">
        <f>'PANEL CHR FRANCE'!K8</f>
        <v>1866.0830143557205</v>
      </c>
      <c r="H9" s="708">
        <f>'RO Cavistes'!B7</f>
        <v>6218.3381430527925</v>
      </c>
      <c r="I9" s="674">
        <f>'IRI UK'!B35</f>
        <v>9036.6713458566082</v>
      </c>
      <c r="J9" s="603">
        <f>'IRI ALL'!B8</f>
        <v>4552.0973679992176</v>
      </c>
      <c r="K9" s="603">
        <f>'IRI PB'!B8</f>
        <v>4661.5944935580428</v>
      </c>
      <c r="L9" s="548">
        <f>GfK!B8</f>
        <v>2902.4964764760798</v>
      </c>
      <c r="M9" s="548">
        <f>GfK!F8</f>
        <v>2229.6450205657161</v>
      </c>
      <c r="N9" s="208">
        <f>GTI!B6</f>
        <v>1622.8176307728445</v>
      </c>
      <c r="O9" s="207">
        <f>'DETAIL MONOPOLES'!B6</f>
        <v>2003.5805024840545</v>
      </c>
      <c r="P9" s="674">
        <f>'WINE INTELLIGENCE'!B9</f>
        <v>11363.396126197633</v>
      </c>
    </row>
    <row r="10" spans="1:16" x14ac:dyDescent="0.2">
      <c r="A10" s="206" t="s">
        <v>65</v>
      </c>
      <c r="B10" s="207">
        <f t="shared" si="0"/>
        <v>10612.209823048181</v>
      </c>
      <c r="C10" s="608">
        <f>'IRI FR VT'!C9</f>
        <v>1799.1518025941409</v>
      </c>
      <c r="D10" s="608">
        <f>'IRI FR EFF'!B9</f>
        <v>0</v>
      </c>
      <c r="E10" s="548">
        <f>KANTAR!B9</f>
        <v>1789.9723971124413</v>
      </c>
      <c r="F10" s="603">
        <f>'PANEL CHR FRANCE'!F9</f>
        <v>415.0700874248069</v>
      </c>
      <c r="G10" s="708">
        <f>'PANEL CHR FRANCE'!K9</f>
        <v>110.61577085107972</v>
      </c>
      <c r="H10" s="708">
        <f>'RO Cavistes'!B8</f>
        <v>1421.621932582701</v>
      </c>
      <c r="I10" s="674">
        <f>'IRI UK'!B36</f>
        <v>1076.7879045642326</v>
      </c>
      <c r="J10" s="603">
        <f>'IRI ALL'!B9</f>
        <v>800.23862163628803</v>
      </c>
      <c r="K10" s="603">
        <f>'IRI PB'!B9</f>
        <v>1293.9363854096232</v>
      </c>
      <c r="L10" s="548">
        <f>GfK!B9</f>
        <v>573.35661255554726</v>
      </c>
      <c r="M10" s="548">
        <f>GfK!F9</f>
        <v>440.44212509948863</v>
      </c>
      <c r="N10" s="208">
        <f>GTI!B7</f>
        <v>455.6395277308863</v>
      </c>
      <c r="O10" s="207">
        <f>'DETAIL MONOPOLES'!B7</f>
        <v>435.37665548694383</v>
      </c>
      <c r="P10" s="674">
        <f>'WINE INTELLIGENCE'!B10</f>
        <v>0</v>
      </c>
    </row>
    <row r="11" spans="1:16" x14ac:dyDescent="0.2">
      <c r="A11" s="206" t="s">
        <v>66</v>
      </c>
      <c r="B11" s="207">
        <f t="shared" si="0"/>
        <v>4677.79037944642</v>
      </c>
      <c r="C11" s="608">
        <f>'IRI FR VT'!C10</f>
        <v>0</v>
      </c>
      <c r="D11" s="608">
        <f>'IRI FR EFF'!B10</f>
        <v>0</v>
      </c>
      <c r="E11" s="548">
        <f>KANTAR!B10</f>
        <v>0</v>
      </c>
      <c r="F11" s="603">
        <f>'PANEL CHR FRANCE'!F10</f>
        <v>1210.545790358701</v>
      </c>
      <c r="G11" s="708">
        <f>'PANEL CHR FRANCE'!K10</f>
        <v>511.51049892787222</v>
      </c>
      <c r="H11" s="708">
        <f>'RO Cavistes'!B9</f>
        <v>2517.0443894659679</v>
      </c>
      <c r="I11" s="674">
        <f>'IRI UK'!B37</f>
        <v>0</v>
      </c>
      <c r="J11" s="603">
        <f>'IRI ALL'!B10</f>
        <v>0</v>
      </c>
      <c r="K11" s="603">
        <f>'IRI PB'!B10</f>
        <v>0</v>
      </c>
      <c r="L11" s="548">
        <f>GfK!B10</f>
        <v>0</v>
      </c>
      <c r="M11" s="548">
        <f>GfK!F10</f>
        <v>0</v>
      </c>
      <c r="N11" s="208">
        <f>GTI!B8</f>
        <v>0</v>
      </c>
      <c r="O11" s="207">
        <f>'DETAIL MONOPOLES'!B8</f>
        <v>438.68970069387922</v>
      </c>
      <c r="P11" s="674">
        <f>'WINE INTELLIGENCE'!B11</f>
        <v>0</v>
      </c>
    </row>
    <row r="12" spans="1:16" x14ac:dyDescent="0.2">
      <c r="A12" s="206" t="s">
        <v>67</v>
      </c>
      <c r="B12" s="207">
        <f t="shared" si="0"/>
        <v>831.16768159420349</v>
      </c>
      <c r="C12" s="608">
        <f>'IRI FR VT'!C11</f>
        <v>0</v>
      </c>
      <c r="D12" s="608">
        <f>'IRI FR EFF'!B11</f>
        <v>0</v>
      </c>
      <c r="E12" s="548">
        <f>KANTAR!B11</f>
        <v>0</v>
      </c>
      <c r="F12" s="603">
        <f>'PANEL CHR FRANCE'!F11</f>
        <v>618.18725067028925</v>
      </c>
      <c r="G12" s="708">
        <f>'PANEL CHR FRANCE'!K11</f>
        <v>212.98043092391421</v>
      </c>
      <c r="H12" s="708">
        <f>'RO Cavistes'!B10</f>
        <v>0</v>
      </c>
      <c r="I12" s="674">
        <f>'IRI UK'!B38</f>
        <v>0</v>
      </c>
      <c r="J12" s="603">
        <f>'IRI ALL'!B11</f>
        <v>0</v>
      </c>
      <c r="K12" s="603">
        <f>'IRI PB'!B11</f>
        <v>0</v>
      </c>
      <c r="L12" s="548">
        <f>GfK!B11</f>
        <v>0</v>
      </c>
      <c r="M12" s="548">
        <f>GfK!F11</f>
        <v>0</v>
      </c>
      <c r="N12" s="208">
        <f>GTI!B9</f>
        <v>0</v>
      </c>
      <c r="O12" s="207">
        <f>'DETAIL MONOPOLES'!B9</f>
        <v>0</v>
      </c>
      <c r="P12" s="674">
        <f>'WINE INTELLIGENCE'!B12</f>
        <v>0</v>
      </c>
    </row>
    <row r="13" spans="1:16" x14ac:dyDescent="0.2">
      <c r="A13" s="206" t="s">
        <v>68</v>
      </c>
      <c r="B13" s="207">
        <f t="shared" si="0"/>
        <v>82934.917541378571</v>
      </c>
      <c r="C13" s="608">
        <f>'IRI FR VT'!C12</f>
        <v>0</v>
      </c>
      <c r="D13" s="608">
        <f>'IRI FR EFF'!B12</f>
        <v>5047.6645403478205</v>
      </c>
      <c r="E13" s="548">
        <f>KANTAR!B12</f>
        <v>15840.279601888073</v>
      </c>
      <c r="F13" s="603">
        <f>'PANEL CHR FRANCE'!F12</f>
        <v>7412.4358763241135</v>
      </c>
      <c r="G13" s="708">
        <f>'PANEL CHR FRANCE'!K12</f>
        <v>3637.0679866112864</v>
      </c>
      <c r="H13" s="708">
        <f>'RO Cavistes'!B11</f>
        <v>0</v>
      </c>
      <c r="I13" s="674">
        <f>'IRI UK'!B39</f>
        <v>11218.293004925938</v>
      </c>
      <c r="J13" s="603">
        <f>'IRI ALL'!B12</f>
        <v>8337.1212597405447</v>
      </c>
      <c r="K13" s="603">
        <f>'IRI PB'!B12</f>
        <v>0</v>
      </c>
      <c r="L13" s="548">
        <f>GfK!B12</f>
        <v>5252.2251384872734</v>
      </c>
      <c r="M13" s="548">
        <f>GfK!F12</f>
        <v>4034.6638563834058</v>
      </c>
      <c r="N13" s="208">
        <f>GTI!B10</f>
        <v>2800.3131881985514</v>
      </c>
      <c r="O13" s="207">
        <f>'DETAIL MONOPOLES'!B10</f>
        <v>0</v>
      </c>
      <c r="P13" s="674">
        <f>'WINE INTELLIGENCE'!B13</f>
        <v>19354.853088471555</v>
      </c>
    </row>
    <row r="14" spans="1:16" x14ac:dyDescent="0.2">
      <c r="A14" s="206" t="s">
        <v>69</v>
      </c>
      <c r="B14" s="207">
        <f t="shared" si="0"/>
        <v>94690.584031756429</v>
      </c>
      <c r="C14" s="608">
        <f>'IRI FR VT'!C13</f>
        <v>32647.367411021398</v>
      </c>
      <c r="D14" s="608">
        <f>'IRI FR EFF'!B13</f>
        <v>3079.0283902562674</v>
      </c>
      <c r="E14" s="548">
        <f>KANTAR!B13</f>
        <v>8859.4679786776851</v>
      </c>
      <c r="F14" s="603">
        <f>'PANEL CHR FRANCE'!F13</f>
        <v>3935.8362746869311</v>
      </c>
      <c r="G14" s="708">
        <f>'PANEL CHR FRANCE'!K13</f>
        <v>1884.9711635533886</v>
      </c>
      <c r="H14" s="708">
        <f>'RO Cavistes'!B12</f>
        <v>6269.9489559446101</v>
      </c>
      <c r="I14" s="674">
        <f>'IRI UK'!B40</f>
        <v>9090.9906020678391</v>
      </c>
      <c r="J14" s="603">
        <f>'IRI ALL'!B13</f>
        <v>4592.4659183279618</v>
      </c>
      <c r="K14" s="603">
        <f>'IRI PB'!B13</f>
        <v>4697.8291934812687</v>
      </c>
      <c r="L14" s="548">
        <f>GfK!B13</f>
        <v>2927.5571213925523</v>
      </c>
      <c r="M14" s="548">
        <f>GfK!F13</f>
        <v>2248.8961523424605</v>
      </c>
      <c r="N14" s="208">
        <f>GTI!B11</f>
        <v>1635.3760161440775</v>
      </c>
      <c r="O14" s="207">
        <f>'DETAIL MONOPOLES'!B11</f>
        <v>1372.2211566581527</v>
      </c>
      <c r="P14" s="674">
        <f>'WINE INTELLIGENCE'!B14</f>
        <v>11448.627697201835</v>
      </c>
    </row>
    <row r="15" spans="1:16" x14ac:dyDescent="0.2">
      <c r="A15" s="206" t="s">
        <v>70</v>
      </c>
      <c r="B15" s="207">
        <f t="shared" si="0"/>
        <v>104896.65650818108</v>
      </c>
      <c r="C15" s="608">
        <f>'IRI FR VT'!C14</f>
        <v>47879.825941866882</v>
      </c>
      <c r="D15" s="608">
        <f>'IRI FR EFF'!B14</f>
        <v>2832.7713012058894</v>
      </c>
      <c r="E15" s="548">
        <f>KANTAR!B14</f>
        <v>7986.2368590211227</v>
      </c>
      <c r="F15" s="603">
        <f>'PANEL CHR FRANCE'!F14</f>
        <v>3500.9477364199383</v>
      </c>
      <c r="G15" s="708">
        <f>'PANEL CHR FRANCE'!K14</f>
        <v>1665.8010221534214</v>
      </c>
      <c r="H15" s="708">
        <f>'RO Cavistes'!B13</f>
        <v>5671.0787839182613</v>
      </c>
      <c r="I15" s="674">
        <f>'IRI UK'!B41</f>
        <v>8460.6927925806904</v>
      </c>
      <c r="J15" s="603">
        <f>'IRI ALL'!B14</f>
        <v>4124.046234055515</v>
      </c>
      <c r="K15" s="603">
        <f>'IRI PB'!B14</f>
        <v>4277.3769711566292</v>
      </c>
      <c r="L15" s="548">
        <f>GfK!B14</f>
        <v>2636.7639350174886</v>
      </c>
      <c r="M15" s="548">
        <f>GfK!F14</f>
        <v>2025.5141137179803</v>
      </c>
      <c r="N15" s="208">
        <f>GTI!B12</f>
        <v>1489.6537927137233</v>
      </c>
      <c r="O15" s="207">
        <f>'DETAIL MONOPOLES'!B12</f>
        <v>1886.3106398123691</v>
      </c>
      <c r="P15" s="674">
        <f>'WINE INTELLIGENCE'!B15</f>
        <v>10459.636384541178</v>
      </c>
    </row>
    <row r="16" spans="1:16" x14ac:dyDescent="0.2">
      <c r="A16" s="206" t="s">
        <v>71</v>
      </c>
      <c r="B16" s="207">
        <f t="shared" si="0"/>
        <v>524.9538189351415</v>
      </c>
      <c r="C16" s="608">
        <f>'IRI FR VT'!C15</f>
        <v>0</v>
      </c>
      <c r="D16" s="608">
        <f>'IRI FR EFF'!B15</f>
        <v>0</v>
      </c>
      <c r="E16" s="548">
        <f>KANTAR!B15</f>
        <v>0</v>
      </c>
      <c r="F16" s="603">
        <f>'PANEL CHR FRANCE'!F15</f>
        <v>414.58334895814107</v>
      </c>
      <c r="G16" s="708">
        <f>'PANEL CHR FRANCE'!K15</f>
        <v>110.37046997700045</v>
      </c>
      <c r="H16" s="708">
        <f>'RO Cavistes'!B14</f>
        <v>0</v>
      </c>
      <c r="I16" s="674">
        <f>'IRI UK'!B42</f>
        <v>0</v>
      </c>
      <c r="J16" s="603">
        <f>'IRI ALL'!B15</f>
        <v>0</v>
      </c>
      <c r="K16" s="603">
        <f>'IRI PB'!B15</f>
        <v>0</v>
      </c>
      <c r="L16" s="548">
        <f>GfK!B15</f>
        <v>0</v>
      </c>
      <c r="M16" s="548">
        <f>GfK!F15</f>
        <v>0</v>
      </c>
      <c r="N16" s="208">
        <f>GTI!B13</f>
        <v>0</v>
      </c>
      <c r="O16" s="207">
        <f>'DETAIL MONOPOLES'!B13</f>
        <v>0</v>
      </c>
      <c r="P16" s="674">
        <f>'WINE INTELLIGENCE'!B16</f>
        <v>0</v>
      </c>
    </row>
    <row r="17" spans="1:16" x14ac:dyDescent="0.2">
      <c r="A17" s="206" t="s">
        <v>72</v>
      </c>
      <c r="B17" s="207">
        <f t="shared" si="0"/>
        <v>56080.617167656979</v>
      </c>
      <c r="C17" s="608">
        <f>'IRI FR VT'!C16</f>
        <v>21485.120471414</v>
      </c>
      <c r="D17" s="608">
        <f>'IRI FR EFF'!B16</f>
        <v>0</v>
      </c>
      <c r="E17" s="548">
        <f>KANTAR!B16</f>
        <v>5228.4720030565913</v>
      </c>
      <c r="F17" s="603">
        <f>'PANEL CHR FRANCE'!F16</f>
        <v>2127.5194422402888</v>
      </c>
      <c r="G17" s="708">
        <f>'PANEL CHR FRANCE'!K16</f>
        <v>973.63637086691972</v>
      </c>
      <c r="H17" s="708">
        <f>'RO Cavistes'!B15</f>
        <v>3779.7775275575841</v>
      </c>
      <c r="I17" s="674">
        <f>'IRI UK'!B43</f>
        <v>4006.609776317443</v>
      </c>
      <c r="J17" s="603">
        <f>'IRI ALL'!B16</f>
        <v>2644.722703262647</v>
      </c>
      <c r="K17" s="603">
        <f>'IRI PB'!B16</f>
        <v>2949.5402321325964</v>
      </c>
      <c r="L17" s="548">
        <f>GfK!B16</f>
        <v>1718.405425240041</v>
      </c>
      <c r="M17" s="548">
        <f>GfK!F16</f>
        <v>1320.0478039343952</v>
      </c>
      <c r="N17" s="208">
        <f>GTI!B14</f>
        <v>1029.4461598624175</v>
      </c>
      <c r="O17" s="207">
        <f>'DETAIL MONOPOLES'!B14</f>
        <v>1481.0317991636525</v>
      </c>
      <c r="P17" s="674">
        <f>'WINE INTELLIGENCE'!B17</f>
        <v>7336.2874526084033</v>
      </c>
    </row>
    <row r="18" spans="1:16" x14ac:dyDescent="0.2">
      <c r="A18" s="206" t="s">
        <v>73</v>
      </c>
      <c r="B18" s="207">
        <f t="shared" si="0"/>
        <v>115064.76899665827</v>
      </c>
      <c r="C18" s="608">
        <f>'IRI FR VT'!C17</f>
        <v>47417.883688659138</v>
      </c>
      <c r="D18" s="608">
        <f>'IRI FR EFF'!B17</f>
        <v>3294.5487660705471</v>
      </c>
      <c r="E18" s="548">
        <f>KANTAR!B17</f>
        <v>9623.7062786057995</v>
      </c>
      <c r="F18" s="603">
        <f>'PANEL CHR FRANCE'!F17</f>
        <v>4316.4439622302971</v>
      </c>
      <c r="G18" s="708">
        <f>'PANEL CHR FRANCE'!K17</f>
        <v>2076.7854639008056</v>
      </c>
      <c r="H18" s="708">
        <f>'RO Cavistes'!B16</f>
        <v>6794.0708199559122</v>
      </c>
      <c r="I18" s="674">
        <f>'IRI UK'!B44</f>
        <v>9642.6174457839934</v>
      </c>
      <c r="J18" s="603">
        <f>'IRI ALL'!B17</f>
        <v>5002.4195435515248</v>
      </c>
      <c r="K18" s="603">
        <f>'IRI PB'!B17</f>
        <v>5065.8024417511606</v>
      </c>
      <c r="L18" s="548">
        <f>GfK!B17</f>
        <v>3182.0547971892656</v>
      </c>
      <c r="M18" s="548">
        <f>GfK!F17</f>
        <v>2444.3966396590272</v>
      </c>
      <c r="N18" s="208">
        <f>GTI!B15</f>
        <v>1762.9098405684276</v>
      </c>
      <c r="O18" s="207">
        <f>'DETAIL MONOPOLES'!B15</f>
        <v>2126.9517903918654</v>
      </c>
      <c r="P18" s="674">
        <f>'WINE INTELLIGENCE'!B18</f>
        <v>12314.177518340497</v>
      </c>
    </row>
    <row r="19" spans="1:16" x14ac:dyDescent="0.2">
      <c r="A19" s="206" t="s">
        <v>74</v>
      </c>
      <c r="B19" s="207">
        <f t="shared" si="0"/>
        <v>38678.118160124897</v>
      </c>
      <c r="C19" s="608">
        <f>'IRI FR VT'!C18</f>
        <v>23832.7673738511</v>
      </c>
      <c r="D19" s="608">
        <f>'IRI FR EFF'!B18</f>
        <v>0</v>
      </c>
      <c r="E19" s="548">
        <f>KANTAR!B18</f>
        <v>3101.8126397069177</v>
      </c>
      <c r="F19" s="603">
        <f>'PANEL CHR FRANCE'!F18</f>
        <v>1068.3957336364367</v>
      </c>
      <c r="G19" s="708">
        <f>'PANEL CHR FRANCE'!K18</f>
        <v>439.87134247646713</v>
      </c>
      <c r="H19" s="708">
        <f>'RO Cavistes'!B17</f>
        <v>2321.294395083376</v>
      </c>
      <c r="I19" s="674">
        <f>'IRI UK'!B45</f>
        <v>2023.67357170535</v>
      </c>
      <c r="J19" s="603">
        <f>'IRI ALL'!B18</f>
        <v>1503.9375375586515</v>
      </c>
      <c r="K19" s="603">
        <f>'IRI PB'!B18</f>
        <v>1925.5745999875344</v>
      </c>
      <c r="L19" s="548">
        <f>GfK!B18</f>
        <v>1010.2102651247726</v>
      </c>
      <c r="M19" s="548">
        <f>GfK!F18</f>
        <v>776.02515820948452</v>
      </c>
      <c r="N19" s="208">
        <f>GTI!B16</f>
        <v>674.55554278480054</v>
      </c>
      <c r="O19" s="207">
        <f>'DETAIL MONOPOLES'!B16</f>
        <v>0</v>
      </c>
      <c r="P19" s="674">
        <f>'WINE INTELLIGENCE'!B19</f>
        <v>0</v>
      </c>
    </row>
    <row r="20" spans="1:16" x14ac:dyDescent="0.2">
      <c r="A20" s="206" t="s">
        <v>75</v>
      </c>
      <c r="B20" s="207">
        <f t="shared" si="0"/>
        <v>44230.211266093887</v>
      </c>
      <c r="C20" s="608">
        <f>'IRI FR VT'!C19</f>
        <v>21782.997591870535</v>
      </c>
      <c r="D20" s="608">
        <f>'IRI FR EFF'!B19</f>
        <v>0</v>
      </c>
      <c r="E20" s="548">
        <f>KANTAR!B19</f>
        <v>4504.684600070118</v>
      </c>
      <c r="F20" s="603">
        <f>'PANEL CHR FRANCE'!F19</f>
        <v>1767.0572019291021</v>
      </c>
      <c r="G20" s="708">
        <f>'PANEL CHR FRANCE'!K19</f>
        <v>791.97474213517023</v>
      </c>
      <c r="H20" s="708">
        <f>'RO Cavistes'!B18</f>
        <v>3283.3972717697588</v>
      </c>
      <c r="I20" s="674">
        <f>'IRI UK'!B46</f>
        <v>3036.2658897111824</v>
      </c>
      <c r="J20" s="603">
        <f>'IRI ALL'!B19</f>
        <v>2256.4677966800232</v>
      </c>
      <c r="K20" s="603">
        <f>'IRI PB'!B19</f>
        <v>2601.0436941302301</v>
      </c>
      <c r="L20" s="548">
        <f>GfK!B19</f>
        <v>1477.3782327421989</v>
      </c>
      <c r="M20" s="548">
        <f>GfK!F19</f>
        <v>1134.8950969701436</v>
      </c>
      <c r="N20" s="208">
        <f>GTI!B17</f>
        <v>908.66266133621707</v>
      </c>
      <c r="O20" s="207">
        <f>'DETAIL MONOPOLES'!B17</f>
        <v>685.38648674920591</v>
      </c>
      <c r="P20" s="674">
        <f>'WINE INTELLIGENCE'!B20</f>
        <v>0</v>
      </c>
    </row>
    <row r="21" spans="1:16" x14ac:dyDescent="0.2">
      <c r="A21" s="206" t="s">
        <v>76</v>
      </c>
      <c r="B21" s="207">
        <f t="shared" si="0"/>
        <v>21062.502370026934</v>
      </c>
      <c r="C21" s="608">
        <f>'IRI FR VT'!C20</f>
        <v>7903.3502050147781</v>
      </c>
      <c r="D21" s="608">
        <f>'IRI FR EFF'!B20</f>
        <v>0</v>
      </c>
      <c r="E21" s="548">
        <f>KANTAR!B20</f>
        <v>3287.3646195206707</v>
      </c>
      <c r="F21" s="603">
        <f>'PANEL CHR FRANCE'!F20</f>
        <v>1160.8047505133045</v>
      </c>
      <c r="G21" s="708">
        <f>'PANEL CHR FRANCE'!K20</f>
        <v>486.44257973243924</v>
      </c>
      <c r="H21" s="708">
        <f>'RO Cavistes'!B19</f>
        <v>2448.5477001586632</v>
      </c>
      <c r="I21" s="674">
        <f>'IRI UK'!B47</f>
        <v>2157.6049030447657</v>
      </c>
      <c r="J21" s="603">
        <f>'IRI ALL'!B20</f>
        <v>1603.4715530603771</v>
      </c>
      <c r="K21" s="603">
        <f>'IRI PB'!B20</f>
        <v>2014.9160589819321</v>
      </c>
      <c r="L21" s="548">
        <f>GfK!B20</f>
        <v>0</v>
      </c>
      <c r="M21" s="548">
        <f>GfK!F20</f>
        <v>0</v>
      </c>
      <c r="N21" s="208">
        <f>GTI!B18</f>
        <v>0</v>
      </c>
      <c r="O21" s="207">
        <f>'DETAIL MONOPOLES'!B18</f>
        <v>0</v>
      </c>
      <c r="P21" s="674">
        <f>'WINE INTELLIGENCE'!B21</f>
        <v>0</v>
      </c>
    </row>
    <row r="22" spans="1:16" x14ac:dyDescent="0.2">
      <c r="A22" s="206" t="s">
        <v>77</v>
      </c>
      <c r="B22" s="207">
        <f t="shared" si="0"/>
        <v>560.1607971830108</v>
      </c>
      <c r="C22" s="608">
        <f>'IRI FR VT'!C21</f>
        <v>0</v>
      </c>
      <c r="D22" s="608">
        <f>'IRI FR EFF'!B21</f>
        <v>0</v>
      </c>
      <c r="E22" s="548">
        <f>KANTAR!B21</f>
        <v>0</v>
      </c>
      <c r="F22" s="603">
        <f>'PANEL CHR FRANCE'!F21</f>
        <v>437.99273374730092</v>
      </c>
      <c r="G22" s="708">
        <f>'PANEL CHR FRANCE'!K21</f>
        <v>122.16806343570994</v>
      </c>
      <c r="H22" s="708">
        <f>'RO Cavistes'!B20</f>
        <v>0</v>
      </c>
      <c r="I22" s="674">
        <f>'IRI UK'!B48</f>
        <v>0</v>
      </c>
      <c r="J22" s="603">
        <f>'IRI ALL'!B21</f>
        <v>0</v>
      </c>
      <c r="K22" s="603">
        <f>'IRI PB'!B21</f>
        <v>0</v>
      </c>
      <c r="L22" s="548">
        <f>GfK!B21</f>
        <v>0</v>
      </c>
      <c r="M22" s="548">
        <f>GfK!F21</f>
        <v>0</v>
      </c>
      <c r="N22" s="208">
        <f>GTI!B19</f>
        <v>0</v>
      </c>
      <c r="O22" s="207">
        <f>'DETAIL MONOPOLES'!B19</f>
        <v>0</v>
      </c>
      <c r="P22" s="674">
        <f>'WINE INTELLIGENCE'!B22</f>
        <v>0</v>
      </c>
    </row>
    <row r="23" spans="1:16" x14ac:dyDescent="0.2">
      <c r="A23" s="206" t="s">
        <v>78</v>
      </c>
      <c r="B23" s="207">
        <f t="shared" si="0"/>
        <v>126759.28031611178</v>
      </c>
      <c r="C23" s="608">
        <f>'IRI FR VT'!C22</f>
        <v>43936.839740353476</v>
      </c>
      <c r="D23" s="608">
        <f>'IRI FR EFF'!B22</f>
        <v>4013.1641433411628</v>
      </c>
      <c r="E23" s="548">
        <f>KANTAR!B22</f>
        <v>12171.926567070548</v>
      </c>
      <c r="F23" s="603">
        <f>'PANEL CHR FRANCE'!F22</f>
        <v>5585.5143967202812</v>
      </c>
      <c r="G23" s="708">
        <f>'PANEL CHR FRANCE'!K22</f>
        <v>2716.3570370723355</v>
      </c>
      <c r="H23" s="708">
        <f>'RO Cavistes'!B21</f>
        <v>8541.6644273780857</v>
      </c>
      <c r="I23" s="674">
        <f>'IRI UK'!B49</f>
        <v>11481.921645732489</v>
      </c>
      <c r="J23" s="603">
        <f>'IRI ALL'!B22</f>
        <v>6369.3389261873072</v>
      </c>
      <c r="K23" s="603">
        <f>'IRI PB'!B22</f>
        <v>7879.7618696462614</v>
      </c>
      <c r="L23" s="548">
        <f>GfK!B22</f>
        <v>4030.6332325978447</v>
      </c>
      <c r="M23" s="548">
        <f>GfK!F22</f>
        <v>3096.2591650410718</v>
      </c>
      <c r="N23" s="208">
        <f>GTI!B20</f>
        <v>0</v>
      </c>
      <c r="O23" s="207">
        <f>'DETAIL MONOPOLES'!B20</f>
        <v>1735.6956320875086</v>
      </c>
      <c r="P23" s="674">
        <f>'WINE INTELLIGENCE'!B23</f>
        <v>15200.203532883403</v>
      </c>
    </row>
    <row r="24" spans="1:16" x14ac:dyDescent="0.2">
      <c r="A24" s="206" t="s">
        <v>79</v>
      </c>
      <c r="B24" s="207">
        <f t="shared" si="0"/>
        <v>376.08619566438404</v>
      </c>
      <c r="C24" s="608">
        <f>'IRI FR VT'!C23</f>
        <v>0</v>
      </c>
      <c r="D24" s="608">
        <f>'IRI FR EFF'!B23</f>
        <v>0</v>
      </c>
      <c r="E24" s="548">
        <f>KANTAR!B23</f>
        <v>0</v>
      </c>
      <c r="F24" s="603">
        <f>'PANEL CHR FRANCE'!F23</f>
        <v>376.08619566438404</v>
      </c>
      <c r="G24" s="708">
        <f>'PANEL CHR FRANCE'!K23</f>
        <v>0</v>
      </c>
      <c r="H24" s="708">
        <f>'RO Cavistes'!B22</f>
        <v>0</v>
      </c>
      <c r="I24" s="674">
        <f>'IRI UK'!B50</f>
        <v>0</v>
      </c>
      <c r="J24" s="603">
        <f>'IRI ALL'!B23</f>
        <v>0</v>
      </c>
      <c r="K24" s="603">
        <f>'IRI PB'!B23</f>
        <v>0</v>
      </c>
      <c r="L24" s="548">
        <f>GfK!B23</f>
        <v>0</v>
      </c>
      <c r="M24" s="548">
        <f>GfK!F23</f>
        <v>0</v>
      </c>
      <c r="N24" s="208">
        <f>GTI!B21</f>
        <v>0</v>
      </c>
      <c r="O24" s="207">
        <f>'DETAIL MONOPOLES'!B21</f>
        <v>0</v>
      </c>
      <c r="P24" s="674">
        <f>'WINE INTELLIGENCE'!B24</f>
        <v>0</v>
      </c>
    </row>
    <row r="25" spans="1:16" s="210" customFormat="1" x14ac:dyDescent="0.2">
      <c r="A25" s="209" t="s">
        <v>80</v>
      </c>
      <c r="B25" s="207">
        <f t="shared" si="0"/>
        <v>2062.2990123883433</v>
      </c>
      <c r="C25" s="608">
        <f>'IRI FR VT'!C24</f>
        <v>0</v>
      </c>
      <c r="D25" s="608">
        <f>'IRI FR EFF'!B24</f>
        <v>0</v>
      </c>
      <c r="E25" s="548">
        <f>KANTAR!B24</f>
        <v>0</v>
      </c>
      <c r="F25" s="603">
        <f>'PANEL CHR FRANCE'!F24</f>
        <v>0</v>
      </c>
      <c r="G25" s="708">
        <f>'PANEL CHR FRANCE'!K24</f>
        <v>2062.2990123883433</v>
      </c>
      <c r="H25" s="708">
        <f>'RO Cavistes'!B23</f>
        <v>0</v>
      </c>
      <c r="I25" s="674">
        <f>'IRI UK'!B51</f>
        <v>0</v>
      </c>
      <c r="J25" s="603">
        <f>'IRI ALL'!B24</f>
        <v>0</v>
      </c>
      <c r="K25" s="603">
        <f>'IRI PB'!B24</f>
        <v>0</v>
      </c>
      <c r="L25" s="548">
        <f>GfK!B24</f>
        <v>0</v>
      </c>
      <c r="M25" s="548">
        <f>GfK!F24</f>
        <v>0</v>
      </c>
      <c r="N25" s="208">
        <f>GTI!B22</f>
        <v>0</v>
      </c>
      <c r="O25" s="207">
        <f>'DETAIL MONOPOLES'!B22</f>
        <v>0</v>
      </c>
      <c r="P25" s="674">
        <f>'WINE INTELLIGENCE'!B25</f>
        <v>0</v>
      </c>
    </row>
    <row r="26" spans="1:16" s="549" customFormat="1" x14ac:dyDescent="0.2">
      <c r="A26" s="545" t="s">
        <v>81</v>
      </c>
      <c r="B26" s="207">
        <f t="shared" si="0"/>
        <v>483376.8063448419</v>
      </c>
      <c r="C26" s="608">
        <f>'IRI FR VT'!C25</f>
        <v>136296.05409350057</v>
      </c>
      <c r="D26" s="547">
        <f>'IRI FR EFF'!B25</f>
        <v>10113.366058532878</v>
      </c>
      <c r="E26" s="548">
        <f>KANTAR!B25</f>
        <v>102069.16495629039</v>
      </c>
      <c r="F26" s="548">
        <f>'PANEL CHR FRANCE'!F25</f>
        <v>50832.716506291632</v>
      </c>
      <c r="G26" s="708">
        <f>'PANEL CHR FRANCE'!K25</f>
        <v>25618.089887640446</v>
      </c>
      <c r="H26" s="708">
        <f>'RO Cavistes'!B24</f>
        <v>0</v>
      </c>
      <c r="I26" s="674">
        <f>'IRI UK'!B52</f>
        <v>49115.650019004184</v>
      </c>
      <c r="J26" s="603">
        <f>'IRI ALL'!B25</f>
        <v>36501.375902698601</v>
      </c>
      <c r="K26" s="603">
        <f>'IRI PB'!B25</f>
        <v>32763.534777651086</v>
      </c>
      <c r="L26" s="548">
        <f>GfK!B25</f>
        <v>22659.917510311214</v>
      </c>
      <c r="M26" s="548">
        <f>GfK!F25</f>
        <v>17406.936632920886</v>
      </c>
      <c r="N26" s="208">
        <f>GTI!B23</f>
        <v>0</v>
      </c>
      <c r="O26" s="546">
        <f>'DETAIL MONOPOLES'!B23</f>
        <v>0</v>
      </c>
      <c r="P26" s="674">
        <f>'WINE INTELLIGENCE'!B26</f>
        <v>0</v>
      </c>
    </row>
    <row r="27" spans="1:16" s="213" customFormat="1" x14ac:dyDescent="0.2">
      <c r="A27" s="211" t="s">
        <v>82</v>
      </c>
      <c r="B27" s="207">
        <f t="shared" si="0"/>
        <v>1636523.9541512653</v>
      </c>
      <c r="C27" s="607">
        <f>SUM(C5:C26)</f>
        <v>603157.04637020116</v>
      </c>
      <c r="D27" s="607">
        <f t="shared" ref="D27:G27" si="1">SUM(D5:D26)</f>
        <v>38897.561763587983</v>
      </c>
      <c r="E27" s="607">
        <f t="shared" si="1"/>
        <v>208312.60053211707</v>
      </c>
      <c r="F27" s="607">
        <f t="shared" si="1"/>
        <v>101665.43301258326</v>
      </c>
      <c r="G27" s="607">
        <f t="shared" si="1"/>
        <v>51236.179775280892</v>
      </c>
      <c r="H27" s="607">
        <f>'RO Cavistes'!B25</f>
        <v>70000</v>
      </c>
      <c r="I27" s="693">
        <f>'IRI UK'!B53</f>
        <v>140705.70429494488</v>
      </c>
      <c r="J27" s="657">
        <f t="shared" ref="J27:P27" si="2">SUM(J5:J26)</f>
        <v>91253.439756746491</v>
      </c>
      <c r="K27" s="693">
        <f t="shared" si="2"/>
        <v>83495.853287723308</v>
      </c>
      <c r="L27" s="777">
        <f t="shared" si="2"/>
        <v>56649.793775778031</v>
      </c>
      <c r="M27" s="777">
        <f t="shared" si="2"/>
        <v>43517.341582302215</v>
      </c>
      <c r="N27" s="777">
        <f t="shared" si="2"/>
        <v>17033</v>
      </c>
      <c r="O27" s="777">
        <f t="shared" si="2"/>
        <v>15000.000000000002</v>
      </c>
      <c r="P27" s="777">
        <f t="shared" si="2"/>
        <v>115600.00000000003</v>
      </c>
    </row>
    <row r="28" spans="1:16" s="217" customFormat="1" ht="33.75" x14ac:dyDescent="0.2">
      <c r="A28" s="214" t="s">
        <v>82</v>
      </c>
      <c r="B28" s="215">
        <f>SUM(C28:P28)</f>
        <v>1656492</v>
      </c>
      <c r="C28" s="602">
        <f>567900+35257</f>
        <v>603157</v>
      </c>
      <c r="D28" s="602">
        <v>38898</v>
      </c>
      <c r="E28" s="602">
        <f>204138+4174</f>
        <v>208312</v>
      </c>
      <c r="F28" s="602">
        <v>101665</v>
      </c>
      <c r="G28" s="602">
        <v>51236</v>
      </c>
      <c r="H28" s="602">
        <v>70000</v>
      </c>
      <c r="I28" s="602">
        <f>96791+17917+25998</f>
        <v>140706</v>
      </c>
      <c r="J28" s="602">
        <v>91253</v>
      </c>
      <c r="K28" s="602">
        <f>81909+1556+20000</f>
        <v>103465</v>
      </c>
      <c r="L28" s="602">
        <v>56650</v>
      </c>
      <c r="M28" s="602">
        <v>43517</v>
      </c>
      <c r="N28" s="602">
        <v>17033</v>
      </c>
      <c r="O28" s="216">
        <v>15000</v>
      </c>
      <c r="P28" s="566">
        <v>115600</v>
      </c>
    </row>
    <row r="29" spans="1:16" s="217" customFormat="1" ht="11.25" x14ac:dyDescent="0.2">
      <c r="A29" s="214" t="s">
        <v>83</v>
      </c>
      <c r="B29" s="552">
        <f>SUM(B5:B26)-B27</f>
        <v>0</v>
      </c>
      <c r="C29" s="553">
        <f>SUM(C5:C26)-C28</f>
        <v>4.6370201162062585E-2</v>
      </c>
      <c r="D29" s="553">
        <f>SUM(D5:D26)-D28</f>
        <v>-0.43823641201743158</v>
      </c>
      <c r="E29" s="553">
        <f>E27-E28</f>
        <v>0.6005321170669049</v>
      </c>
      <c r="F29" s="553">
        <f>F28-F27</f>
        <v>-0.43301258326391689</v>
      </c>
      <c r="G29" s="553">
        <f>G28-G27</f>
        <v>-0.17977528089249972</v>
      </c>
      <c r="H29" s="553">
        <f>H28-H27</f>
        <v>0</v>
      </c>
      <c r="I29" s="553">
        <f t="shared" ref="I29:N29" si="3">I27-I28</f>
        <v>-0.29570505511946976</v>
      </c>
      <c r="J29" s="553">
        <f t="shared" si="3"/>
        <v>0.43975674649118446</v>
      </c>
      <c r="K29" s="553">
        <f t="shared" si="3"/>
        <v>-19969.146712276692</v>
      </c>
      <c r="L29" s="553">
        <f t="shared" si="3"/>
        <v>-0.20622422196902335</v>
      </c>
      <c r="M29" s="553">
        <f t="shared" si="3"/>
        <v>0.34158230221510166</v>
      </c>
      <c r="N29" s="553">
        <f t="shared" si="3"/>
        <v>0</v>
      </c>
      <c r="O29" s="552">
        <f>O27-O28</f>
        <v>0</v>
      </c>
      <c r="P29" s="568">
        <f>P27-P28</f>
        <v>0</v>
      </c>
    </row>
    <row r="30" spans="1:16" x14ac:dyDescent="0.2">
      <c r="A30" s="218"/>
      <c r="B30" s="219"/>
      <c r="C30" s="220"/>
    </row>
    <row r="31" spans="1:16" ht="72" x14ac:dyDescent="0.2">
      <c r="A31" s="218"/>
      <c r="B31" s="223"/>
      <c r="C31" s="224"/>
      <c r="K31" s="778" t="s">
        <v>84</v>
      </c>
    </row>
    <row r="32" spans="1:16" x14ac:dyDescent="0.2">
      <c r="B32" s="225"/>
      <c r="C32" s="221"/>
      <c r="D32" s="226"/>
      <c r="E32" s="226"/>
      <c r="F32" s="226"/>
      <c r="G32" s="226"/>
      <c r="H32" s="226"/>
      <c r="I32" s="554"/>
      <c r="J32" s="227"/>
    </row>
    <row r="33" spans="2:10" x14ac:dyDescent="0.2">
      <c r="B33" s="225"/>
      <c r="C33" s="221"/>
      <c r="D33" s="226"/>
      <c r="I33" s="227"/>
      <c r="J33" s="550"/>
    </row>
    <row r="34" spans="2:10" x14ac:dyDescent="0.2">
      <c r="B34" s="225"/>
      <c r="C34" s="221"/>
      <c r="I34" s="228"/>
      <c r="J34" s="228"/>
    </row>
    <row r="35" spans="2:10" x14ac:dyDescent="0.2">
      <c r="B35" s="225"/>
      <c r="C35" s="229"/>
      <c r="I35" s="228"/>
      <c r="J35" s="228"/>
    </row>
    <row r="36" spans="2:10" x14ac:dyDescent="0.2">
      <c r="B36" s="225"/>
      <c r="C36" s="229"/>
      <c r="I36" s="228"/>
      <c r="J36" s="228"/>
    </row>
    <row r="37" spans="2:10" x14ac:dyDescent="0.2">
      <c r="B37" s="225"/>
      <c r="C37" s="230"/>
      <c r="I37" s="228"/>
      <c r="J37" s="228"/>
    </row>
    <row r="38" spans="2:10" x14ac:dyDescent="0.2">
      <c r="B38" s="225"/>
      <c r="C38" s="230"/>
      <c r="I38" s="228"/>
      <c r="J38" s="228"/>
    </row>
    <row r="39" spans="2:10" x14ac:dyDescent="0.2">
      <c r="B39" s="225"/>
      <c r="C39" s="230"/>
      <c r="I39" s="228"/>
      <c r="J39" s="228"/>
    </row>
    <row r="40" spans="2:10" x14ac:dyDescent="0.2">
      <c r="B40" s="225"/>
      <c r="C40" s="230"/>
      <c r="I40" s="228"/>
      <c r="J40" s="228"/>
    </row>
    <row r="41" spans="2:10" x14ac:dyDescent="0.2">
      <c r="B41" s="225"/>
      <c r="C41" s="230"/>
      <c r="I41" s="228"/>
      <c r="J41" s="228"/>
    </row>
    <row r="42" spans="2:10" x14ac:dyDescent="0.2">
      <c r="B42" s="225"/>
      <c r="C42" s="230"/>
      <c r="I42" s="228"/>
      <c r="J42" s="228"/>
    </row>
    <row r="43" spans="2:10" x14ac:dyDescent="0.2">
      <c r="B43" s="225"/>
      <c r="C43" s="230"/>
    </row>
    <row r="44" spans="2:10" x14ac:dyDescent="0.2">
      <c r="B44" s="225"/>
      <c r="C44" s="230"/>
    </row>
    <row r="45" spans="2:10" x14ac:dyDescent="0.2">
      <c r="B45" s="225"/>
      <c r="C45" s="230"/>
    </row>
    <row r="46" spans="2:10" x14ac:dyDescent="0.2">
      <c r="B46" s="225"/>
      <c r="C46" s="230"/>
    </row>
    <row r="47" spans="2:10" x14ac:dyDescent="0.2">
      <c r="B47" s="225"/>
      <c r="C47" s="230"/>
    </row>
    <row r="48" spans="2:10" x14ac:dyDescent="0.2">
      <c r="B48" s="225"/>
      <c r="C48" s="230"/>
    </row>
  </sheetData>
  <mergeCells count="14">
    <mergeCell ref="I1:P1"/>
    <mergeCell ref="K2:K4"/>
    <mergeCell ref="L2:L4"/>
    <mergeCell ref="M2:M4"/>
    <mergeCell ref="O3:O4"/>
    <mergeCell ref="I2:I4"/>
    <mergeCell ref="J2:J4"/>
    <mergeCell ref="A1:A4"/>
    <mergeCell ref="C1:H1"/>
    <mergeCell ref="B1:B4"/>
    <mergeCell ref="C2:C4"/>
    <mergeCell ref="D2:D4"/>
    <mergeCell ref="E2:E4"/>
    <mergeCell ref="F2:F4"/>
  </mergeCells>
  <hyperlinks>
    <hyperlink ref="C2" location="'IRI FR VT'!A1" display="IRI VT FR"/>
    <hyperlink ref="D2" location="'IRI FR EFF'!A1" display="IRI FR EFF"/>
    <hyperlink ref="I2" location="'IRI UK'!A1" display="IRI UK"/>
    <hyperlink ref="J2" location="'IRI ALL'!A1" display="IRI ALL"/>
    <hyperlink ref="K2" location="'IRI PB'!A1" display="IRI PB"/>
    <hyperlink ref="E2" location="KANTAR!A1" display="KANTAR"/>
    <hyperlink ref="L2" location="GfK!D1" display="GfK BE"/>
    <hyperlink ref="M2" location="GfK!P1" display="GfK ALL"/>
    <hyperlink ref="F2" location="'PANEL CHR FRANCE'!P1" display="CHR France"/>
    <hyperlink ref="G2" location="'PANEL CHR FRANCE'!P1" display="ROCHR"/>
    <hyperlink ref="H2" location="'RO Cavistes'!P1" display="RO Cavistes"/>
    <hyperlink ref="N2" location="GTI!P1" display="GTI"/>
    <hyperlink ref="O2" location="'DETAIL MONOPOLES'!P1" display="MONOPOLES"/>
    <hyperlink ref="P2" location="'WINE INTELLIGENCE'!P1" display="WINE INTELLIGENCE 2021"/>
  </hyperlinks>
  <printOptions horizontalCentered="1" verticalCentered="1"/>
  <pageMargins left="0.25" right="0.25" top="0.75" bottom="0.75" header="0.3" footer="0.3"/>
  <pageSetup paperSize="8" firstPageNumber="0" orientation="landscape" r:id="rId1"/>
  <headerFooter>
    <oddHeader>&amp;C&amp;F</oddHeader>
    <oddFooter>&amp;L&amp;Z&amp;F&amp;R&amp;D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37" s="1" customFormat="1" ht="15.75" customHeight="1" x14ac:dyDescent="0.25">
      <c r="A1" s="29"/>
      <c r="B1" s="836" t="s">
        <v>85</v>
      </c>
      <c r="C1" s="836"/>
      <c r="D1" s="837" t="s">
        <v>86</v>
      </c>
      <c r="E1" s="837"/>
      <c r="F1" s="838" t="s">
        <v>87</v>
      </c>
      <c r="G1" s="838"/>
      <c r="H1" s="837" t="s">
        <v>88</v>
      </c>
      <c r="I1" s="837"/>
      <c r="J1" s="838" t="s">
        <v>89</v>
      </c>
      <c r="K1" s="838"/>
      <c r="L1" s="835" t="s">
        <v>90</v>
      </c>
      <c r="M1" s="835"/>
      <c r="N1" s="8"/>
      <c r="O1" s="3"/>
      <c r="P1" s="3"/>
      <c r="Q1" s="3"/>
      <c r="R1" s="3"/>
      <c r="S1" s="8"/>
      <c r="T1" s="9"/>
      <c r="U1" s="5"/>
      <c r="V1" s="9"/>
      <c r="W1" s="5"/>
      <c r="X1" s="5"/>
      <c r="Y1" s="4"/>
      <c r="Z1" s="5"/>
      <c r="AA1" s="5"/>
      <c r="AB1" s="4"/>
      <c r="AC1" s="5"/>
      <c r="AD1" s="5"/>
      <c r="AE1" s="4"/>
      <c r="AF1" s="5"/>
      <c r="AG1" s="5"/>
      <c r="AH1" s="9"/>
      <c r="AJ1" s="3"/>
      <c r="AK1" s="7"/>
    </row>
    <row r="2" spans="1:37" ht="15.75" customHeight="1" x14ac:dyDescent="0.25">
      <c r="A2" s="30" t="s">
        <v>91</v>
      </c>
      <c r="B2" s="31"/>
      <c r="C2" s="31"/>
      <c r="D2" s="32">
        <v>185</v>
      </c>
      <c r="E2" s="33"/>
      <c r="F2" s="32">
        <f>10204.03</f>
        <v>10204.030000000001</v>
      </c>
      <c r="G2" s="34"/>
      <c r="H2" s="32">
        <v>1500</v>
      </c>
      <c r="I2" s="33"/>
      <c r="J2" s="35">
        <v>4000</v>
      </c>
      <c r="K2" s="34"/>
      <c r="L2" s="25"/>
      <c r="M2" s="36"/>
      <c r="N2" s="8"/>
      <c r="O2" s="3"/>
      <c r="P2" s="3"/>
      <c r="Q2" s="3"/>
      <c r="R2" s="3"/>
      <c r="S2" s="8"/>
      <c r="T2" s="9"/>
      <c r="U2" s="5"/>
      <c r="V2" s="9"/>
      <c r="W2" s="5"/>
      <c r="X2" s="5"/>
      <c r="Y2" s="4"/>
      <c r="Z2" s="5"/>
      <c r="AA2" s="5"/>
      <c r="AB2" s="4"/>
      <c r="AC2" s="5"/>
      <c r="AD2" s="5"/>
      <c r="AE2" s="4"/>
      <c r="AF2" s="5"/>
      <c r="AG2" s="5"/>
      <c r="AH2" s="9"/>
      <c r="AI2" s="25"/>
      <c r="AJ2" s="3"/>
      <c r="AK2" s="7"/>
    </row>
    <row r="3" spans="1:37" s="10" customFormat="1" x14ac:dyDescent="0.25">
      <c r="A3" s="37" t="s">
        <v>92</v>
      </c>
      <c r="B3" s="38" t="s">
        <v>93</v>
      </c>
      <c r="C3" s="34" t="s">
        <v>94</v>
      </c>
      <c r="D3" s="39" t="s">
        <v>93</v>
      </c>
      <c r="E3" s="40" t="s">
        <v>94</v>
      </c>
      <c r="F3" s="39" t="s">
        <v>93</v>
      </c>
      <c r="G3" s="40" t="s">
        <v>94</v>
      </c>
      <c r="H3" s="39" t="s">
        <v>93</v>
      </c>
      <c r="I3" s="40" t="s">
        <v>94</v>
      </c>
      <c r="J3" s="39" t="s">
        <v>93</v>
      </c>
      <c r="K3" s="40" t="s">
        <v>94</v>
      </c>
      <c r="L3" s="39" t="s">
        <v>93</v>
      </c>
      <c r="M3" s="40" t="s">
        <v>94</v>
      </c>
      <c r="N3" s="12"/>
      <c r="O3" s="12"/>
      <c r="P3" s="15"/>
      <c r="Q3" s="9"/>
      <c r="R3" s="5"/>
      <c r="S3" s="5"/>
      <c r="T3" s="14"/>
      <c r="U3" s="15"/>
      <c r="V3" s="14"/>
      <c r="W3" s="14"/>
      <c r="X3" s="13"/>
      <c r="Y3" s="14"/>
      <c r="Z3" s="14"/>
      <c r="AA3" s="13"/>
      <c r="AB3" s="14"/>
      <c r="AC3" s="14"/>
      <c r="AD3" s="13"/>
      <c r="AE3" s="14"/>
      <c r="AF3" s="14"/>
      <c r="AG3" s="15"/>
      <c r="AI3" s="12"/>
      <c r="AJ3" s="16"/>
    </row>
    <row r="4" spans="1:37" x14ac:dyDescent="0.25">
      <c r="A4" s="41"/>
      <c r="B4" s="42"/>
      <c r="C4" s="43"/>
      <c r="D4" s="44">
        <v>136.01</v>
      </c>
      <c r="E4" s="45">
        <v>162.68</v>
      </c>
      <c r="F4" s="44">
        <v>8498</v>
      </c>
      <c r="G4" s="45">
        <f>F4*1.196</f>
        <v>10163.608</v>
      </c>
      <c r="H4" s="44">
        <v>1137.01</v>
      </c>
      <c r="I4" s="45">
        <f>H4*1.196</f>
        <v>1359.8639599999999</v>
      </c>
      <c r="J4" s="44">
        <v>485.03</v>
      </c>
      <c r="K4" s="45">
        <f>J4*1.196</f>
        <v>580.09587999999997</v>
      </c>
      <c r="L4" s="44">
        <v>3500</v>
      </c>
      <c r="M4" s="45">
        <f>L4*1.196</f>
        <v>4186</v>
      </c>
      <c r="N4" s="12"/>
      <c r="O4" s="12"/>
      <c r="P4" s="15"/>
      <c r="Q4" s="14"/>
      <c r="R4" s="14"/>
      <c r="S4" s="15"/>
      <c r="T4" s="14"/>
      <c r="U4" s="15"/>
      <c r="V4" s="14"/>
      <c r="W4" s="14"/>
      <c r="X4" s="13"/>
      <c r="Y4" s="14"/>
      <c r="Z4" s="14"/>
      <c r="AA4" s="13"/>
      <c r="AB4" s="14"/>
      <c r="AC4" s="14"/>
      <c r="AD4" s="13"/>
      <c r="AE4" s="14"/>
      <c r="AF4" s="14"/>
      <c r="AG4" s="15"/>
      <c r="AH4" s="25"/>
      <c r="AI4" s="12"/>
      <c r="AJ4" s="16"/>
      <c r="AK4" s="25"/>
    </row>
    <row r="5" spans="1:37" s="1" customFormat="1" ht="30" x14ac:dyDescent="0.25">
      <c r="A5" s="1" t="s">
        <v>95</v>
      </c>
      <c r="B5" s="46">
        <f t="shared" ref="B5:B12" si="0">D5+F5+H5+J5+L5</f>
        <v>1965.15</v>
      </c>
      <c r="C5" s="47">
        <f t="shared" ref="C5:C11" si="1">B5*1.2</f>
        <v>2358.1799999999998</v>
      </c>
      <c r="D5" s="145">
        <v>19.43</v>
      </c>
      <c r="E5" s="48">
        <f t="shared" ref="E5:E11" si="2">D5*1.2</f>
        <v>23.315999999999999</v>
      </c>
      <c r="F5" s="145">
        <f t="shared" ref="F5:F11" si="3">$F$4/7</f>
        <v>1214</v>
      </c>
      <c r="G5" s="48">
        <f t="shared" ref="G5:G11" si="4">F5*1.2</f>
        <v>1456.8</v>
      </c>
      <c r="H5" s="145">
        <f t="shared" ref="H5:H11" si="5">$H$4/7</f>
        <v>162.43</v>
      </c>
      <c r="I5" s="48">
        <f t="shared" ref="I5:I11" si="6">H5*1.2</f>
        <v>194.916</v>
      </c>
      <c r="J5" s="145">
        <f t="shared" ref="J5:J11" si="7">$J$4/7</f>
        <v>69.289999999999992</v>
      </c>
      <c r="K5" s="48">
        <f t="shared" ref="K5:K11" si="8">J5*1.2</f>
        <v>83.147999999999982</v>
      </c>
      <c r="L5" s="145">
        <f t="shared" ref="L5:L11" si="9">$L$4/7</f>
        <v>500</v>
      </c>
      <c r="M5" s="48">
        <f t="shared" ref="M5:M11" si="10">L5*1.2</f>
        <v>600</v>
      </c>
      <c r="N5" s="3"/>
      <c r="O5" s="3"/>
      <c r="P5" s="9"/>
      <c r="Q5" s="5"/>
      <c r="R5" s="5"/>
      <c r="S5" s="9"/>
      <c r="T5" s="5"/>
      <c r="U5" s="9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9"/>
      <c r="AI5" s="3"/>
      <c r="AJ5" s="7"/>
    </row>
    <row r="6" spans="1:37" s="1" customFormat="1" ht="30" x14ac:dyDescent="0.25">
      <c r="A6" s="1" t="s">
        <v>96</v>
      </c>
      <c r="B6" s="46">
        <f t="shared" si="0"/>
        <v>1965.15</v>
      </c>
      <c r="C6" s="47">
        <f t="shared" si="1"/>
        <v>2358.1799999999998</v>
      </c>
      <c r="D6" s="145">
        <v>19.43</v>
      </c>
      <c r="E6" s="48">
        <f t="shared" si="2"/>
        <v>23.315999999999999</v>
      </c>
      <c r="F6" s="145">
        <f t="shared" si="3"/>
        <v>1214</v>
      </c>
      <c r="G6" s="48">
        <f t="shared" si="4"/>
        <v>1456.8</v>
      </c>
      <c r="H6" s="145">
        <f t="shared" si="5"/>
        <v>162.43</v>
      </c>
      <c r="I6" s="48">
        <f t="shared" si="6"/>
        <v>194.916</v>
      </c>
      <c r="J6" s="145">
        <f t="shared" si="7"/>
        <v>69.289999999999992</v>
      </c>
      <c r="K6" s="48">
        <f t="shared" si="8"/>
        <v>83.147999999999982</v>
      </c>
      <c r="L6" s="145">
        <f t="shared" si="9"/>
        <v>500</v>
      </c>
      <c r="M6" s="48">
        <f t="shared" si="10"/>
        <v>600</v>
      </c>
      <c r="N6" s="3"/>
      <c r="O6" s="3"/>
      <c r="P6" s="9"/>
      <c r="Q6" s="5"/>
      <c r="R6" s="5"/>
      <c r="S6" s="9"/>
      <c r="T6" s="5"/>
      <c r="U6" s="9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9"/>
      <c r="AI6" s="3"/>
      <c r="AJ6" s="7"/>
    </row>
    <row r="7" spans="1:37" s="1" customFormat="1" ht="30" x14ac:dyDescent="0.25">
      <c r="A7" s="1" t="s">
        <v>97</v>
      </c>
      <c r="B7" s="46">
        <f t="shared" si="0"/>
        <v>1965.15</v>
      </c>
      <c r="C7" s="47">
        <f t="shared" si="1"/>
        <v>2358.1799999999998</v>
      </c>
      <c r="D7" s="145">
        <v>19.43</v>
      </c>
      <c r="E7" s="48">
        <f t="shared" si="2"/>
        <v>23.315999999999999</v>
      </c>
      <c r="F7" s="145">
        <f t="shared" si="3"/>
        <v>1214</v>
      </c>
      <c r="G7" s="48">
        <f t="shared" si="4"/>
        <v>1456.8</v>
      </c>
      <c r="H7" s="145">
        <f t="shared" si="5"/>
        <v>162.43</v>
      </c>
      <c r="I7" s="48">
        <f t="shared" si="6"/>
        <v>194.916</v>
      </c>
      <c r="J7" s="145">
        <f t="shared" si="7"/>
        <v>69.289999999999992</v>
      </c>
      <c r="K7" s="48">
        <f t="shared" si="8"/>
        <v>83.147999999999982</v>
      </c>
      <c r="L7" s="145">
        <f t="shared" si="9"/>
        <v>500</v>
      </c>
      <c r="M7" s="48">
        <f t="shared" si="10"/>
        <v>600</v>
      </c>
      <c r="N7" s="3"/>
      <c r="O7" s="3"/>
      <c r="P7" s="9"/>
      <c r="Q7" s="5"/>
      <c r="R7" s="5"/>
      <c r="S7" s="9"/>
      <c r="T7" s="5"/>
      <c r="U7" s="9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9"/>
      <c r="AI7" s="3"/>
      <c r="AJ7" s="7"/>
    </row>
    <row r="8" spans="1:37" s="1" customFormat="1" x14ac:dyDescent="0.25">
      <c r="A8" s="1" t="s">
        <v>98</v>
      </c>
      <c r="B8" s="46">
        <f t="shared" si="0"/>
        <v>1965.15</v>
      </c>
      <c r="C8" s="47">
        <f t="shared" si="1"/>
        <v>2358.1799999999998</v>
      </c>
      <c r="D8" s="145">
        <v>19.43</v>
      </c>
      <c r="E8" s="48">
        <f t="shared" si="2"/>
        <v>23.315999999999999</v>
      </c>
      <c r="F8" s="145">
        <f t="shared" si="3"/>
        <v>1214</v>
      </c>
      <c r="G8" s="48">
        <f t="shared" si="4"/>
        <v>1456.8</v>
      </c>
      <c r="H8" s="145">
        <f t="shared" si="5"/>
        <v>162.43</v>
      </c>
      <c r="I8" s="48">
        <f t="shared" si="6"/>
        <v>194.916</v>
      </c>
      <c r="J8" s="145">
        <f t="shared" si="7"/>
        <v>69.289999999999992</v>
      </c>
      <c r="K8" s="48">
        <f t="shared" si="8"/>
        <v>83.147999999999982</v>
      </c>
      <c r="L8" s="145">
        <f t="shared" si="9"/>
        <v>500</v>
      </c>
      <c r="M8" s="48">
        <f t="shared" si="10"/>
        <v>600</v>
      </c>
      <c r="N8" s="3"/>
      <c r="O8" s="3"/>
      <c r="P8" s="9"/>
      <c r="Q8" s="5"/>
      <c r="R8" s="5"/>
      <c r="S8" s="9"/>
      <c r="T8" s="5"/>
      <c r="U8" s="9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9"/>
      <c r="AI8" s="3"/>
      <c r="AJ8" s="7"/>
    </row>
    <row r="9" spans="1:37" s="1" customFormat="1" ht="30" x14ac:dyDescent="0.25">
      <c r="A9" s="1" t="s">
        <v>99</v>
      </c>
      <c r="B9" s="46">
        <f t="shared" si="0"/>
        <v>1965.15</v>
      </c>
      <c r="C9" s="47">
        <f t="shared" si="1"/>
        <v>2358.1799999999998</v>
      </c>
      <c r="D9" s="145">
        <v>19.43</v>
      </c>
      <c r="E9" s="48">
        <f t="shared" si="2"/>
        <v>23.315999999999999</v>
      </c>
      <c r="F9" s="145">
        <f t="shared" si="3"/>
        <v>1214</v>
      </c>
      <c r="G9" s="48">
        <f t="shared" si="4"/>
        <v>1456.8</v>
      </c>
      <c r="H9" s="145">
        <f t="shared" si="5"/>
        <v>162.43</v>
      </c>
      <c r="I9" s="48">
        <f t="shared" si="6"/>
        <v>194.916</v>
      </c>
      <c r="J9" s="145">
        <f t="shared" si="7"/>
        <v>69.289999999999992</v>
      </c>
      <c r="K9" s="48">
        <f t="shared" si="8"/>
        <v>83.147999999999982</v>
      </c>
      <c r="L9" s="145">
        <f t="shared" si="9"/>
        <v>500</v>
      </c>
      <c r="M9" s="48">
        <f t="shared" si="10"/>
        <v>600</v>
      </c>
      <c r="N9" s="3"/>
      <c r="O9" s="3"/>
      <c r="P9" s="9"/>
      <c r="Q9" s="5"/>
      <c r="R9" s="5"/>
      <c r="S9" s="9"/>
      <c r="T9" s="5"/>
      <c r="U9" s="9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9"/>
      <c r="AI9" s="3"/>
      <c r="AJ9" s="7"/>
    </row>
    <row r="10" spans="1:37" s="1" customFormat="1" x14ac:dyDescent="0.25">
      <c r="A10" s="1" t="s">
        <v>100</v>
      </c>
      <c r="B10" s="46">
        <f t="shared" si="0"/>
        <v>1965.15</v>
      </c>
      <c r="C10" s="47">
        <f t="shared" si="1"/>
        <v>2358.1799999999998</v>
      </c>
      <c r="D10" s="145">
        <v>19.43</v>
      </c>
      <c r="E10" s="48">
        <f t="shared" si="2"/>
        <v>23.315999999999999</v>
      </c>
      <c r="F10" s="145">
        <f t="shared" si="3"/>
        <v>1214</v>
      </c>
      <c r="G10" s="48">
        <f t="shared" si="4"/>
        <v>1456.8</v>
      </c>
      <c r="H10" s="145">
        <f t="shared" si="5"/>
        <v>162.43</v>
      </c>
      <c r="I10" s="48">
        <f t="shared" si="6"/>
        <v>194.916</v>
      </c>
      <c r="J10" s="145">
        <f t="shared" si="7"/>
        <v>69.289999999999992</v>
      </c>
      <c r="K10" s="48">
        <f t="shared" si="8"/>
        <v>83.147999999999982</v>
      </c>
      <c r="L10" s="145">
        <f t="shared" si="9"/>
        <v>500</v>
      </c>
      <c r="M10" s="48">
        <f t="shared" si="10"/>
        <v>600</v>
      </c>
      <c r="N10" s="3"/>
      <c r="O10" s="3"/>
      <c r="P10" s="9"/>
      <c r="Q10" s="5"/>
      <c r="R10" s="5"/>
      <c r="S10" s="9"/>
      <c r="T10" s="5"/>
      <c r="U10" s="9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9"/>
      <c r="AI10" s="3"/>
      <c r="AJ10" s="7"/>
    </row>
    <row r="11" spans="1:37" s="1" customFormat="1" x14ac:dyDescent="0.25">
      <c r="A11" s="1" t="s">
        <v>101</v>
      </c>
      <c r="B11" s="46">
        <f t="shared" si="0"/>
        <v>1965.15</v>
      </c>
      <c r="C11" s="47">
        <f t="shared" si="1"/>
        <v>2358.1799999999998</v>
      </c>
      <c r="D11" s="145">
        <v>19.43</v>
      </c>
      <c r="E11" s="48">
        <f t="shared" si="2"/>
        <v>23.315999999999999</v>
      </c>
      <c r="F11" s="145">
        <f t="shared" si="3"/>
        <v>1214</v>
      </c>
      <c r="G11" s="48">
        <f t="shared" si="4"/>
        <v>1456.8</v>
      </c>
      <c r="H11" s="145">
        <f t="shared" si="5"/>
        <v>162.43</v>
      </c>
      <c r="I11" s="48">
        <f t="shared" si="6"/>
        <v>194.916</v>
      </c>
      <c r="J11" s="145">
        <f t="shared" si="7"/>
        <v>69.289999999999992</v>
      </c>
      <c r="K11" s="48">
        <f t="shared" si="8"/>
        <v>83.147999999999982</v>
      </c>
      <c r="L11" s="145">
        <f t="shared" si="9"/>
        <v>500</v>
      </c>
      <c r="M11" s="48">
        <f t="shared" si="10"/>
        <v>600</v>
      </c>
      <c r="N11" s="3"/>
      <c r="O11" s="3"/>
      <c r="P11" s="9"/>
      <c r="Q11" s="5"/>
      <c r="R11" s="5"/>
      <c r="S11" s="9"/>
      <c r="T11" s="5"/>
      <c r="U11" s="9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9"/>
      <c r="AI11" s="3"/>
      <c r="AJ11" s="7"/>
    </row>
    <row r="12" spans="1:37" s="10" customFormat="1" ht="30" x14ac:dyDescent="0.25">
      <c r="A12" s="10" t="s">
        <v>102</v>
      </c>
      <c r="B12" s="42">
        <f t="shared" si="0"/>
        <v>13756.050000000001</v>
      </c>
      <c r="C12" s="45">
        <f>E12+G12+I12+K12+M12</f>
        <v>16507.259999999998</v>
      </c>
      <c r="D12" s="44">
        <f t="shared" ref="D12:M12" si="11">SUM(D5:D11)</f>
        <v>136.01000000000002</v>
      </c>
      <c r="E12" s="45">
        <f t="shared" si="11"/>
        <v>163.21199999999999</v>
      </c>
      <c r="F12" s="44">
        <f t="shared" si="11"/>
        <v>8498</v>
      </c>
      <c r="G12" s="45">
        <f t="shared" si="11"/>
        <v>10197.599999999999</v>
      </c>
      <c r="H12" s="44">
        <f t="shared" si="11"/>
        <v>1137.0100000000002</v>
      </c>
      <c r="I12" s="45">
        <f t="shared" si="11"/>
        <v>1364.4119999999998</v>
      </c>
      <c r="J12" s="44">
        <f t="shared" si="11"/>
        <v>485.02999999999986</v>
      </c>
      <c r="K12" s="45">
        <f t="shared" si="11"/>
        <v>582.03599999999983</v>
      </c>
      <c r="L12" s="44">
        <f t="shared" si="11"/>
        <v>3500</v>
      </c>
      <c r="M12" s="45">
        <f t="shared" si="11"/>
        <v>4200</v>
      </c>
      <c r="N12" s="12"/>
      <c r="O12" s="12"/>
      <c r="P12" s="15"/>
      <c r="Q12" s="5"/>
      <c r="R12" s="5"/>
      <c r="S12" s="9"/>
      <c r="T12" s="14"/>
      <c r="U12" s="15"/>
      <c r="V12" s="14"/>
      <c r="W12" s="14"/>
      <c r="X12" s="13"/>
      <c r="Y12" s="14"/>
      <c r="Z12" s="14"/>
      <c r="AA12" s="13"/>
      <c r="AB12" s="14"/>
      <c r="AC12" s="14"/>
      <c r="AD12" s="13"/>
      <c r="AE12" s="14"/>
      <c r="AF12" s="14"/>
      <c r="AG12" s="15"/>
      <c r="AI12" s="12"/>
      <c r="AJ12" s="16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>
      <selection activeCell="D30" sqref="D30"/>
    </sheetView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10" t="s">
        <v>103</v>
      </c>
      <c r="B1" s="25"/>
      <c r="C1" s="25"/>
      <c r="D1" s="10" t="s">
        <v>104</v>
      </c>
      <c r="E1" s="25"/>
      <c r="F1" s="25"/>
      <c r="G1" s="1" t="s">
        <v>105</v>
      </c>
      <c r="H1" s="25"/>
      <c r="I1" s="25"/>
      <c r="J1" s="1" t="s">
        <v>106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</row>
    <row r="2" spans="1:1024" ht="45" x14ac:dyDescent="0.25">
      <c r="A2" s="1" t="s">
        <v>107</v>
      </c>
      <c r="B2" s="49">
        <v>2014</v>
      </c>
      <c r="C2" s="25"/>
      <c r="D2" s="1" t="s">
        <v>107</v>
      </c>
      <c r="E2" s="49">
        <v>2014</v>
      </c>
      <c r="F2" s="25"/>
      <c r="G2" s="1" t="s">
        <v>107</v>
      </c>
      <c r="H2" s="20">
        <v>2014</v>
      </c>
      <c r="I2" s="25"/>
      <c r="J2" s="1" t="s">
        <v>107</v>
      </c>
      <c r="K2" s="49">
        <v>2014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</row>
    <row r="3" spans="1:1024" ht="30" x14ac:dyDescent="0.25">
      <c r="A3" s="20" t="s">
        <v>108</v>
      </c>
      <c r="B3" s="50" t="s">
        <v>43</v>
      </c>
      <c r="C3" s="25"/>
      <c r="D3" s="20" t="s">
        <v>108</v>
      </c>
      <c r="E3" s="50" t="s">
        <v>43</v>
      </c>
      <c r="F3" s="25"/>
      <c r="G3" s="20" t="s">
        <v>108</v>
      </c>
      <c r="H3" s="50" t="s">
        <v>43</v>
      </c>
      <c r="I3" s="25"/>
      <c r="J3" s="20" t="s">
        <v>108</v>
      </c>
      <c r="K3" s="50" t="s">
        <v>43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</row>
    <row r="4" spans="1:1024" ht="45" x14ac:dyDescent="0.25">
      <c r="A4" s="51" t="s">
        <v>109</v>
      </c>
      <c r="B4" s="52" t="s">
        <v>110</v>
      </c>
      <c r="C4" s="25"/>
      <c r="D4" s="51" t="s">
        <v>109</v>
      </c>
      <c r="E4" s="52" t="s">
        <v>110</v>
      </c>
      <c r="F4" s="25"/>
      <c r="G4" s="51" t="s">
        <v>109</v>
      </c>
      <c r="H4" s="52" t="s">
        <v>110</v>
      </c>
      <c r="I4" s="25"/>
      <c r="J4" s="51" t="s">
        <v>109</v>
      </c>
      <c r="K4" s="52" t="s">
        <v>110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</row>
    <row r="5" spans="1:1024" ht="90" x14ac:dyDescent="0.25">
      <c r="A5" s="20" t="s">
        <v>111</v>
      </c>
      <c r="B5" s="53">
        <v>377540</v>
      </c>
      <c r="C5" s="25"/>
      <c r="D5" s="54" t="s">
        <v>112</v>
      </c>
      <c r="E5" s="55">
        <v>24845</v>
      </c>
      <c r="F5" s="25"/>
      <c r="G5" s="20" t="s">
        <v>113</v>
      </c>
      <c r="H5" s="53">
        <v>76950</v>
      </c>
      <c r="I5" s="25"/>
      <c r="J5" s="54" t="s">
        <v>113</v>
      </c>
      <c r="K5" s="55">
        <v>68549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</row>
    <row r="6" spans="1:1024" ht="45" x14ac:dyDescent="0.25">
      <c r="A6" s="20" t="s">
        <v>114</v>
      </c>
      <c r="B6" s="53">
        <v>11400</v>
      </c>
      <c r="C6" s="25"/>
      <c r="D6" s="56" t="s">
        <v>115</v>
      </c>
      <c r="E6" s="53">
        <v>2755</v>
      </c>
      <c r="F6" s="25"/>
      <c r="G6" s="20" t="s">
        <v>114</v>
      </c>
      <c r="H6" s="53">
        <v>6650</v>
      </c>
      <c r="I6" s="25"/>
      <c r="J6" s="56" t="s">
        <v>114</v>
      </c>
      <c r="K6" s="53">
        <v>6650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</row>
    <row r="7" spans="1:1024" ht="75" x14ac:dyDescent="0.25">
      <c r="A7" s="20" t="s">
        <v>116</v>
      </c>
      <c r="B7" s="53">
        <v>70982</v>
      </c>
      <c r="C7" s="25"/>
      <c r="D7" s="51" t="s">
        <v>117</v>
      </c>
      <c r="E7" s="57">
        <f>SUM(E4:E6)</f>
        <v>27600</v>
      </c>
      <c r="F7" s="25"/>
      <c r="G7" s="51" t="s">
        <v>117</v>
      </c>
      <c r="H7" s="57">
        <f>SUM(H4:H6)</f>
        <v>83600</v>
      </c>
      <c r="I7" s="25"/>
      <c r="J7" s="51" t="s">
        <v>117</v>
      </c>
      <c r="K7" s="57">
        <f>SUM(K4:K6)</f>
        <v>75199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</row>
    <row r="8" spans="1:1024" ht="60" x14ac:dyDescent="0.25">
      <c r="A8" s="51" t="s">
        <v>117</v>
      </c>
      <c r="B8" s="57">
        <f>SUM(B5:B7)</f>
        <v>459922</v>
      </c>
      <c r="C8" s="25"/>
      <c r="D8" s="21"/>
      <c r="E8" s="58"/>
      <c r="F8" s="25"/>
      <c r="G8" s="21"/>
      <c r="H8" s="58"/>
      <c r="I8" s="25"/>
      <c r="J8" s="21"/>
      <c r="K8" s="58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</row>
    <row r="9" spans="1:1024" ht="45" x14ac:dyDescent="0.25">
      <c r="A9" s="21"/>
      <c r="B9" s="58"/>
      <c r="C9" s="25"/>
      <c r="D9" s="51" t="s">
        <v>118</v>
      </c>
      <c r="E9" s="57" t="s">
        <v>119</v>
      </c>
      <c r="F9" s="25"/>
      <c r="G9" s="51" t="s">
        <v>120</v>
      </c>
      <c r="H9" s="57" t="s">
        <v>121</v>
      </c>
      <c r="I9" s="25"/>
      <c r="J9" s="51" t="s">
        <v>120</v>
      </c>
      <c r="K9" s="57" t="s">
        <v>121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ht="90" x14ac:dyDescent="0.25">
      <c r="A10" s="51" t="s">
        <v>118</v>
      </c>
      <c r="B10" s="57" t="s">
        <v>119</v>
      </c>
      <c r="C10" s="25"/>
      <c r="D10" s="20" t="s">
        <v>122</v>
      </c>
      <c r="E10" s="59"/>
      <c r="F10" s="25"/>
      <c r="G10" s="20" t="s">
        <v>123</v>
      </c>
      <c r="H10" s="59"/>
      <c r="I10" s="25"/>
      <c r="J10" s="20" t="s">
        <v>124</v>
      </c>
      <c r="K10" s="53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ht="135" x14ac:dyDescent="0.25">
      <c r="A11" s="20" t="s">
        <v>125</v>
      </c>
      <c r="B11" s="53">
        <v>15000</v>
      </c>
      <c r="C11" s="25"/>
      <c r="D11" s="20" t="s">
        <v>126</v>
      </c>
      <c r="E11" s="59">
        <v>500</v>
      </c>
      <c r="F11" s="25"/>
      <c r="G11" s="20" t="s">
        <v>127</v>
      </c>
      <c r="H11" s="53"/>
      <c r="I11" s="25"/>
      <c r="J11" s="20" t="s">
        <v>128</v>
      </c>
      <c r="K11" s="53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135" x14ac:dyDescent="0.25">
      <c r="A12" s="20" t="s">
        <v>129</v>
      </c>
      <c r="B12" s="53"/>
      <c r="C12" s="25"/>
      <c r="D12" s="20" t="s">
        <v>130</v>
      </c>
      <c r="E12" s="53"/>
      <c r="F12" s="25"/>
      <c r="G12" s="20" t="s">
        <v>124</v>
      </c>
      <c r="H12" s="53"/>
      <c r="I12" s="25"/>
      <c r="J12" s="20" t="s">
        <v>131</v>
      </c>
      <c r="K12" s="53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</row>
    <row r="13" spans="1:1024" ht="180" x14ac:dyDescent="0.25">
      <c r="A13" s="20" t="s">
        <v>132</v>
      </c>
      <c r="B13" s="53">
        <v>795</v>
      </c>
      <c r="C13" s="25"/>
      <c r="D13" s="20" t="s">
        <v>133</v>
      </c>
      <c r="E13" s="53"/>
      <c r="F13" s="25"/>
      <c r="G13" s="20" t="s">
        <v>134</v>
      </c>
      <c r="H13" s="53"/>
      <c r="I13" s="25"/>
      <c r="J13" s="20" t="s">
        <v>135</v>
      </c>
      <c r="K13" s="53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</row>
    <row r="14" spans="1:1024" ht="165" x14ac:dyDescent="0.25">
      <c r="A14" s="60" t="s">
        <v>136</v>
      </c>
      <c r="B14" s="61"/>
      <c r="C14" s="25"/>
      <c r="D14" s="20" t="s">
        <v>137</v>
      </c>
      <c r="E14" s="53">
        <f>442*12</f>
        <v>5304</v>
      </c>
      <c r="F14" s="25"/>
      <c r="G14" s="20" t="s">
        <v>138</v>
      </c>
      <c r="H14" s="53"/>
      <c r="I14" s="25"/>
      <c r="J14" s="20" t="s">
        <v>139</v>
      </c>
      <c r="K14" s="53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</row>
    <row r="15" spans="1:1024" ht="135" x14ac:dyDescent="0.25">
      <c r="A15" s="20" t="s">
        <v>140</v>
      </c>
      <c r="B15" s="53"/>
      <c r="C15" s="25"/>
      <c r="D15" s="20" t="s">
        <v>141</v>
      </c>
      <c r="E15" s="53"/>
      <c r="F15" s="25"/>
      <c r="G15" s="20" t="s">
        <v>142</v>
      </c>
      <c r="H15" s="53"/>
      <c r="I15" s="25"/>
      <c r="J15" s="20" t="s">
        <v>143</v>
      </c>
      <c r="K15" s="5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</row>
    <row r="16" spans="1:1024" ht="165" x14ac:dyDescent="0.25">
      <c r="A16" s="51" t="s">
        <v>144</v>
      </c>
      <c r="B16" s="57">
        <f>SUM(B11:B15)</f>
        <v>15795</v>
      </c>
      <c r="C16" s="25"/>
      <c r="D16" s="20" t="s">
        <v>145</v>
      </c>
      <c r="E16" s="53">
        <f>SUM(E10:E15)</f>
        <v>5804</v>
      </c>
      <c r="F16" s="25"/>
      <c r="G16" s="20" t="s">
        <v>146</v>
      </c>
      <c r="H16" s="53"/>
      <c r="I16" s="25"/>
      <c r="J16" s="20" t="s">
        <v>147</v>
      </c>
      <c r="K16" s="5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</row>
    <row r="17" spans="1:1024" ht="135" x14ac:dyDescent="0.25">
      <c r="A17" s="51" t="s">
        <v>148</v>
      </c>
      <c r="B17" s="57">
        <f>B8+B16</f>
        <v>475717</v>
      </c>
      <c r="C17" s="25"/>
      <c r="D17" s="51" t="s">
        <v>148</v>
      </c>
      <c r="E17" s="57">
        <f>E16+E7</f>
        <v>33404</v>
      </c>
      <c r="F17" s="25"/>
      <c r="G17" s="20" t="s">
        <v>149</v>
      </c>
      <c r="H17" s="53"/>
      <c r="I17" s="25"/>
      <c r="J17" s="62" t="s">
        <v>150</v>
      </c>
      <c r="K17" s="63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</row>
    <row r="18" spans="1:1024" ht="150" x14ac:dyDescent="0.25">
      <c r="A18" s="64"/>
      <c r="B18" s="145"/>
      <c r="C18" s="145"/>
      <c r="D18" s="64"/>
      <c r="E18" s="145"/>
      <c r="F18" s="25"/>
      <c r="G18" s="20" t="s">
        <v>151</v>
      </c>
      <c r="H18" s="53"/>
      <c r="I18" s="25"/>
      <c r="J18" s="20" t="s">
        <v>145</v>
      </c>
      <c r="K18" s="53">
        <f>SUM(K10:K17)</f>
        <v>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</row>
    <row r="19" spans="1:1024" s="67" customFormat="1" ht="75" x14ac:dyDescent="0.25">
      <c r="A19" s="65" t="s">
        <v>152</v>
      </c>
      <c r="B19" s="66"/>
      <c r="C19" s="66"/>
      <c r="D19" s="65" t="s">
        <v>152</v>
      </c>
      <c r="E19" s="66"/>
      <c r="G19" s="20" t="s">
        <v>153</v>
      </c>
      <c r="H19" s="63"/>
      <c r="J19" s="51" t="s">
        <v>148</v>
      </c>
      <c r="K19" s="57">
        <f>K18+K7</f>
        <v>75199</v>
      </c>
    </row>
    <row r="20" spans="1:1024" ht="90" x14ac:dyDescent="0.25">
      <c r="A20" s="20" t="s">
        <v>154</v>
      </c>
      <c r="B20" s="53">
        <v>3500</v>
      </c>
      <c r="C20" s="145"/>
      <c r="D20" s="20" t="s">
        <v>155</v>
      </c>
      <c r="E20" s="53">
        <v>550</v>
      </c>
      <c r="F20" s="25"/>
      <c r="G20" s="20" t="s">
        <v>144</v>
      </c>
      <c r="H20" s="53">
        <f>SUM(H10:H19)</f>
        <v>0</v>
      </c>
      <c r="I20" s="25"/>
      <c r="J20" s="64"/>
      <c r="K20" s="14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1024" ht="150" x14ac:dyDescent="0.25">
      <c r="A21" s="20" t="s">
        <v>156</v>
      </c>
      <c r="B21" s="68" t="s">
        <v>157</v>
      </c>
      <c r="C21" s="145"/>
      <c r="D21" s="20" t="s">
        <v>158</v>
      </c>
      <c r="E21" s="53">
        <v>2200</v>
      </c>
      <c r="F21" s="25"/>
      <c r="G21" s="51" t="s">
        <v>148</v>
      </c>
      <c r="H21" s="57">
        <f>H20+H7</f>
        <v>83600</v>
      </c>
      <c r="I21" s="25"/>
      <c r="J21" s="69" t="s">
        <v>152</v>
      </c>
      <c r="K21" s="14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1024" ht="90" x14ac:dyDescent="0.25">
      <c r="A22" s="20" t="s">
        <v>159</v>
      </c>
      <c r="B22" s="53">
        <v>850</v>
      </c>
      <c r="C22" s="145"/>
      <c r="D22" s="20" t="s">
        <v>160</v>
      </c>
      <c r="E22" s="53">
        <v>6419</v>
      </c>
      <c r="F22" s="25"/>
      <c r="G22" s="64"/>
      <c r="H22" s="145"/>
      <c r="I22" s="25"/>
      <c r="J22" s="20" t="s">
        <v>158</v>
      </c>
      <c r="K22" s="53">
        <v>2200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1024" ht="75" x14ac:dyDescent="0.25">
      <c r="A23" s="20" t="s">
        <v>161</v>
      </c>
      <c r="B23" s="53">
        <v>850</v>
      </c>
      <c r="C23" s="145"/>
      <c r="D23" s="25"/>
      <c r="E23" s="25"/>
      <c r="F23" s="25"/>
      <c r="G23" s="69" t="s">
        <v>152</v>
      </c>
      <c r="H23" s="14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1024" ht="90" x14ac:dyDescent="0.25">
      <c r="A24" s="20" t="s">
        <v>158</v>
      </c>
      <c r="B24" s="53">
        <v>2200</v>
      </c>
      <c r="C24" s="145"/>
      <c r="D24" s="25"/>
      <c r="E24" s="25"/>
      <c r="F24" s="25"/>
      <c r="G24" s="20" t="s">
        <v>158</v>
      </c>
      <c r="H24" s="53">
        <v>2200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102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102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102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10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10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10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10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10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25">
      <c r="A46" s="25"/>
      <c r="B46" s="25"/>
      <c r="C46" s="14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25">
      <c r="A47" s="25"/>
      <c r="B47" s="25"/>
      <c r="C47" s="14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x14ac:dyDescent="0.25">
      <c r="A48" s="25"/>
      <c r="B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25">
      <c r="A49" s="25"/>
      <c r="B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x14ac:dyDescent="0.25">
      <c r="A50" s="25"/>
      <c r="B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05" x14ac:dyDescent="0.25">
      <c r="A51" s="1" t="s">
        <v>162</v>
      </c>
      <c r="B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45" x14ac:dyDescent="0.25">
      <c r="A52" s="1" t="s">
        <v>107</v>
      </c>
      <c r="B52" s="49">
        <v>2014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30" x14ac:dyDescent="0.25">
      <c r="A53" s="20" t="s">
        <v>108</v>
      </c>
      <c r="B53" s="50" t="s">
        <v>43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45" x14ac:dyDescent="0.25">
      <c r="A54" s="51" t="s">
        <v>109</v>
      </c>
      <c r="B54" s="52" t="s">
        <v>110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45" x14ac:dyDescent="0.25">
      <c r="A55" s="54" t="s">
        <v>113</v>
      </c>
      <c r="B55" s="55">
        <v>106150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 t="s">
        <v>163</v>
      </c>
      <c r="Z55" s="70">
        <v>40995.9</v>
      </c>
      <c r="AA55" s="70">
        <v>49031.096400000002</v>
      </c>
      <c r="AB55" s="70"/>
    </row>
    <row r="56" spans="1:28" ht="45" x14ac:dyDescent="0.25">
      <c r="A56" s="56" t="s">
        <v>114</v>
      </c>
      <c r="B56" s="53">
        <v>6650</v>
      </c>
      <c r="O56" s="4"/>
      <c r="P56" s="5"/>
      <c r="Q56" s="5"/>
      <c r="R56" s="4"/>
      <c r="S56" s="5"/>
      <c r="T56" s="5"/>
      <c r="U56" s="4"/>
      <c r="V56" s="5"/>
      <c r="W56" s="5"/>
      <c r="X56" s="7" t="s">
        <v>164</v>
      </c>
      <c r="Y56" s="4"/>
      <c r="Z56" s="5"/>
      <c r="AA56" s="7" t="s">
        <v>165</v>
      </c>
    </row>
    <row r="57" spans="1:28" ht="60" x14ac:dyDescent="0.25">
      <c r="A57" s="51" t="s">
        <v>117</v>
      </c>
      <c r="B57" s="57">
        <f>SUM(B54:B56)</f>
        <v>112800</v>
      </c>
      <c r="O57" s="4"/>
      <c r="P57" s="5"/>
      <c r="Q57" s="5"/>
      <c r="R57" s="4"/>
      <c r="S57" s="5"/>
      <c r="T57" s="5"/>
      <c r="U57" s="4"/>
      <c r="V57" s="5"/>
      <c r="W57" s="5"/>
      <c r="X57" s="7">
        <v>6.3500000000000001E-2</v>
      </c>
      <c r="Y57" s="5">
        <v>2603.5</v>
      </c>
      <c r="Z57" s="5">
        <v>3113.7860000000001</v>
      </c>
      <c r="AA57" s="7">
        <v>0.110811882825172</v>
      </c>
    </row>
    <row r="58" spans="1:28" x14ac:dyDescent="0.25">
      <c r="A58" s="21"/>
      <c r="B58" s="58"/>
      <c r="O58" s="4"/>
      <c r="P58" s="5"/>
      <c r="Q58" s="5"/>
      <c r="R58" s="4"/>
      <c r="S58" s="5"/>
      <c r="T58" s="5"/>
      <c r="U58" s="4"/>
      <c r="V58" s="5"/>
      <c r="W58" s="5"/>
      <c r="X58" s="7">
        <v>4.9399999999999999E-2</v>
      </c>
      <c r="Y58" s="5">
        <v>2025.4</v>
      </c>
      <c r="Z58" s="5">
        <v>2422.3784000000001</v>
      </c>
      <c r="AA58" s="7">
        <v>1.2856277780295199E-2</v>
      </c>
    </row>
    <row r="59" spans="1:28" x14ac:dyDescent="0.25">
      <c r="A59" s="51" t="s">
        <v>120</v>
      </c>
      <c r="B59" s="57" t="s">
        <v>121</v>
      </c>
      <c r="O59" s="4"/>
      <c r="P59" s="5"/>
      <c r="Q59" s="5"/>
      <c r="R59" s="4"/>
      <c r="S59" s="5"/>
      <c r="T59" s="5"/>
      <c r="U59" s="4"/>
      <c r="V59" s="5"/>
      <c r="W59" s="5"/>
      <c r="X59" s="7">
        <v>2.3199999999999998E-2</v>
      </c>
      <c r="Y59" s="5">
        <v>951.2</v>
      </c>
      <c r="Z59" s="5">
        <v>1137.6351999999999</v>
      </c>
      <c r="AA59" s="7">
        <v>3.5321249452106199E-2</v>
      </c>
    </row>
    <row r="60" spans="1:28" ht="75" x14ac:dyDescent="0.25">
      <c r="A60" s="20" t="s">
        <v>124</v>
      </c>
      <c r="B60" s="53"/>
      <c r="O60" s="4"/>
      <c r="P60" s="5"/>
      <c r="Q60" s="5"/>
      <c r="R60" s="4"/>
      <c r="S60" s="5"/>
      <c r="T60" s="5"/>
      <c r="U60" s="4"/>
      <c r="V60" s="5"/>
      <c r="W60" s="5"/>
      <c r="X60" s="7">
        <v>0.17649999999999999</v>
      </c>
      <c r="Y60" s="5">
        <v>7236.5</v>
      </c>
      <c r="Z60" s="5">
        <v>8654.8539999999994</v>
      </c>
      <c r="AA60" s="7">
        <v>0.22199068848881401</v>
      </c>
    </row>
    <row r="61" spans="1:28" ht="75" x14ac:dyDescent="0.25">
      <c r="A61" s="20" t="s">
        <v>166</v>
      </c>
      <c r="B61" s="53"/>
      <c r="O61" s="4"/>
      <c r="P61" s="5"/>
      <c r="Q61" s="5"/>
      <c r="R61" s="4"/>
      <c r="S61" s="5"/>
      <c r="T61" s="5"/>
      <c r="U61" s="4"/>
      <c r="V61" s="5"/>
      <c r="W61" s="5"/>
      <c r="X61" s="7">
        <v>9.9400000000000002E-2</v>
      </c>
      <c r="Y61" s="5">
        <v>4075.4</v>
      </c>
      <c r="Z61" s="5">
        <v>4874.1783999999998</v>
      </c>
      <c r="AA61" s="7">
        <v>0.110811882825172</v>
      </c>
    </row>
    <row r="62" spans="1:28" ht="135" x14ac:dyDescent="0.25">
      <c r="A62" s="20" t="s">
        <v>131</v>
      </c>
      <c r="B62" s="53"/>
      <c r="O62" s="4"/>
      <c r="P62" s="5"/>
      <c r="Q62" s="5"/>
      <c r="R62" s="4"/>
      <c r="S62" s="5"/>
      <c r="T62" s="5"/>
      <c r="U62" s="4"/>
      <c r="V62" s="5"/>
      <c r="W62" s="5"/>
      <c r="X62" s="7">
        <v>8.0000000000000002E-3</v>
      </c>
      <c r="Y62" s="5">
        <v>328</v>
      </c>
      <c r="Z62" s="5">
        <v>392.28800000000001</v>
      </c>
      <c r="AA62" s="7">
        <v>0</v>
      </c>
    </row>
    <row r="63" spans="1:28" ht="135" x14ac:dyDescent="0.25">
      <c r="A63" s="20" t="s">
        <v>135</v>
      </c>
      <c r="B63" s="53"/>
      <c r="O63" s="4"/>
      <c r="P63" s="5"/>
      <c r="Q63" s="5"/>
      <c r="R63" s="4"/>
      <c r="S63" s="5"/>
      <c r="T63" s="5"/>
      <c r="U63" s="4"/>
      <c r="V63" s="5"/>
      <c r="W63" s="5"/>
      <c r="X63" s="7">
        <v>2.4E-2</v>
      </c>
      <c r="Y63" s="5">
        <v>984</v>
      </c>
      <c r="Z63" s="5">
        <v>1176.864</v>
      </c>
      <c r="AA63" s="7"/>
    </row>
    <row r="64" spans="1:28" ht="165" x14ac:dyDescent="0.25">
      <c r="A64" s="20" t="s">
        <v>139</v>
      </c>
      <c r="B64" s="53"/>
      <c r="O64" s="4"/>
      <c r="P64" s="5"/>
      <c r="Q64" s="5"/>
      <c r="R64" s="4"/>
      <c r="S64" s="5"/>
      <c r="T64" s="5"/>
      <c r="U64" s="4"/>
      <c r="V64" s="5"/>
      <c r="W64" s="5"/>
      <c r="X64" s="7">
        <v>1.41E-2</v>
      </c>
      <c r="Y64" s="5">
        <v>578.1</v>
      </c>
      <c r="Z64" s="5">
        <v>691.4076</v>
      </c>
      <c r="AA64" s="7"/>
    </row>
    <row r="65" spans="1:27" ht="135" x14ac:dyDescent="0.25">
      <c r="A65" s="20" t="s">
        <v>143</v>
      </c>
      <c r="B65" s="53"/>
      <c r="O65" s="4"/>
      <c r="P65" s="5"/>
      <c r="Q65" s="5"/>
      <c r="R65" s="4"/>
      <c r="S65" s="5"/>
      <c r="T65" s="5"/>
      <c r="U65" s="4"/>
      <c r="V65" s="5"/>
      <c r="W65" s="5"/>
      <c r="X65" s="7"/>
      <c r="Y65" s="5"/>
      <c r="Z65" s="5"/>
      <c r="AA65" s="7">
        <v>5.8875302039316103E-2</v>
      </c>
    </row>
    <row r="66" spans="1:27" ht="150" x14ac:dyDescent="0.25">
      <c r="A66" s="20" t="s">
        <v>147</v>
      </c>
      <c r="B66" s="53"/>
      <c r="O66" s="4"/>
      <c r="P66" s="5"/>
      <c r="Q66" s="5"/>
      <c r="R66" s="4"/>
      <c r="S66" s="5"/>
      <c r="T66" s="5"/>
      <c r="U66" s="4"/>
      <c r="V66" s="5"/>
      <c r="W66" s="5"/>
      <c r="X66" s="7">
        <v>5.1999999999999998E-2</v>
      </c>
      <c r="Y66" s="5">
        <v>2132</v>
      </c>
      <c r="Z66" s="5">
        <v>2549.8719999999998</v>
      </c>
      <c r="AA66" s="7">
        <v>8.1537554338618104E-2</v>
      </c>
    </row>
    <row r="67" spans="1:27" ht="60" x14ac:dyDescent="0.25">
      <c r="A67" s="62" t="s">
        <v>153</v>
      </c>
      <c r="B67" s="63"/>
      <c r="O67" s="4"/>
      <c r="P67" s="5"/>
      <c r="Q67" s="5"/>
      <c r="R67" s="4"/>
      <c r="S67" s="5"/>
      <c r="T67" s="5"/>
      <c r="U67" s="4"/>
      <c r="V67" s="5"/>
      <c r="W67" s="5"/>
      <c r="X67" s="7">
        <v>0.1011</v>
      </c>
      <c r="Y67" s="5">
        <v>4145.1000000000004</v>
      </c>
      <c r="Z67" s="5">
        <v>4957.5396000000001</v>
      </c>
      <c r="AA67" s="7">
        <v>0.136011361950751</v>
      </c>
    </row>
    <row r="68" spans="1:27" ht="30" x14ac:dyDescent="0.25">
      <c r="A68" s="20" t="s">
        <v>145</v>
      </c>
      <c r="B68" s="53">
        <f>SUM(B60:B67)</f>
        <v>0</v>
      </c>
      <c r="O68" s="4"/>
      <c r="P68" s="5"/>
      <c r="Q68" s="5"/>
      <c r="R68" s="4"/>
      <c r="S68" s="5"/>
      <c r="T68" s="5"/>
      <c r="U68" s="4"/>
      <c r="V68" s="5"/>
      <c r="W68" s="5"/>
      <c r="X68" s="7">
        <v>6.8999999999999999E-3</v>
      </c>
      <c r="Y68" s="5">
        <v>282.89999999999998</v>
      </c>
      <c r="Z68" s="5">
        <v>338.34840000000003</v>
      </c>
      <c r="AA68" s="7"/>
    </row>
    <row r="69" spans="1:27" ht="30" x14ac:dyDescent="0.25">
      <c r="A69" s="51" t="s">
        <v>148</v>
      </c>
      <c r="B69" s="57">
        <f>B68+B57</f>
        <v>112800</v>
      </c>
      <c r="O69" s="4"/>
      <c r="P69" s="5"/>
      <c r="Q69" s="5"/>
      <c r="R69" s="4"/>
      <c r="S69" s="5"/>
      <c r="T69" s="5"/>
      <c r="U69" s="4"/>
      <c r="V69" s="5"/>
      <c r="W69" s="5"/>
      <c r="X69" s="7">
        <v>5.3999999999999999E-2</v>
      </c>
      <c r="Y69" s="5">
        <v>2214</v>
      </c>
      <c r="Z69" s="5">
        <v>2647.944</v>
      </c>
      <c r="AA69" s="7">
        <v>5.7956272916372002E-2</v>
      </c>
    </row>
    <row r="70" spans="1:27" x14ac:dyDescent="0.25">
      <c r="A70" s="64"/>
      <c r="B70" s="145"/>
      <c r="O70" s="4"/>
      <c r="P70" s="5"/>
      <c r="Q70" s="5"/>
      <c r="R70" s="4"/>
      <c r="S70" s="5"/>
      <c r="T70" s="5"/>
      <c r="U70" s="4"/>
      <c r="V70" s="5"/>
      <c r="W70" s="5"/>
      <c r="X70" s="7">
        <v>0.1176</v>
      </c>
      <c r="Y70" s="5">
        <v>4821.6000000000004</v>
      </c>
      <c r="Z70" s="5">
        <v>5766.6336000000001</v>
      </c>
      <c r="AA70" s="7">
        <v>0.13584782123240699</v>
      </c>
    </row>
    <row r="71" spans="1:27" ht="75" x14ac:dyDescent="0.25">
      <c r="A71" s="69" t="s">
        <v>152</v>
      </c>
      <c r="B71" s="145"/>
      <c r="O71" s="4"/>
      <c r="P71" s="5"/>
      <c r="Q71" s="5"/>
      <c r="R71" s="4"/>
      <c r="S71" s="5"/>
      <c r="T71" s="5"/>
      <c r="U71" s="4"/>
      <c r="V71" s="5"/>
      <c r="W71" s="5"/>
      <c r="X71" s="7">
        <v>6.4699999999999994E-2</v>
      </c>
      <c r="Y71" s="5">
        <v>2652.7</v>
      </c>
      <c r="Z71" s="5">
        <v>3172.6291999999999</v>
      </c>
      <c r="AA71" s="7">
        <v>1.9195345695559099E-2</v>
      </c>
    </row>
    <row r="72" spans="1:27" ht="90" x14ac:dyDescent="0.25">
      <c r="A72" s="20" t="s">
        <v>158</v>
      </c>
      <c r="B72" s="53">
        <v>2200</v>
      </c>
      <c r="O72" s="4"/>
      <c r="P72" s="5"/>
      <c r="Q72" s="5"/>
      <c r="R72" s="4"/>
      <c r="S72" s="5"/>
      <c r="T72" s="5"/>
      <c r="U72" s="4"/>
      <c r="V72" s="5"/>
      <c r="W72" s="5"/>
      <c r="X72" s="7">
        <v>5.1400000000000001E-2</v>
      </c>
      <c r="Y72" s="5">
        <v>2107.4</v>
      </c>
      <c r="Z72" s="5">
        <v>2520.4504000000002</v>
      </c>
      <c r="AA72" s="7">
        <v>1.8798646169703601E-2</v>
      </c>
    </row>
    <row r="73" spans="1:27" x14ac:dyDescent="0.25">
      <c r="O73" s="4"/>
      <c r="P73" s="5"/>
      <c r="Q73" s="5"/>
      <c r="R73" s="4"/>
      <c r="S73" s="5"/>
      <c r="T73" s="5"/>
      <c r="U73" s="4"/>
      <c r="V73" s="5"/>
      <c r="W73" s="5"/>
      <c r="X73" s="7"/>
      <c r="Y73" s="5"/>
      <c r="Z73" s="5"/>
      <c r="AA73" s="7"/>
    </row>
    <row r="74" spans="1:27" x14ac:dyDescent="0.25">
      <c r="O74" s="4"/>
      <c r="P74" s="5"/>
      <c r="Q74" s="5"/>
      <c r="R74" s="4"/>
      <c r="S74" s="5"/>
      <c r="T74" s="5"/>
      <c r="U74" s="4"/>
      <c r="V74" s="5"/>
      <c r="W74" s="5"/>
      <c r="X74" s="7">
        <v>9.4100000000000003E-2</v>
      </c>
      <c r="Y74" s="5">
        <v>3858.1</v>
      </c>
      <c r="Z74" s="5">
        <v>4614.2875999999997</v>
      </c>
      <c r="AA74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>
      <selection activeCell="F34" sqref="F34"/>
    </sheetView>
  </sheetViews>
  <sheetFormatPr baseColWidth="10" defaultColWidth="9.140625" defaultRowHeight="15" x14ac:dyDescent="0.25"/>
  <cols>
    <col min="7" max="12" width="0" hidden="1"/>
  </cols>
  <sheetData>
    <row r="1" spans="1:12" x14ac:dyDescent="0.25">
      <c r="A1" s="25"/>
      <c r="B1" s="25"/>
      <c r="C1" s="25" t="s">
        <v>167</v>
      </c>
      <c r="D1" s="71" t="s">
        <v>93</v>
      </c>
      <c r="E1" s="71" t="s">
        <v>94</v>
      </c>
      <c r="F1" s="28" t="s">
        <v>168</v>
      </c>
      <c r="G1" s="25"/>
      <c r="H1" s="25"/>
      <c r="I1" s="25" t="s">
        <v>169</v>
      </c>
      <c r="J1" s="71" t="s">
        <v>93</v>
      </c>
      <c r="K1" s="71" t="s">
        <v>94</v>
      </c>
      <c r="L1" s="28" t="s">
        <v>168</v>
      </c>
    </row>
    <row r="2" spans="1:12" x14ac:dyDescent="0.25">
      <c r="A2" s="72" t="s">
        <v>170</v>
      </c>
      <c r="B2" s="73"/>
      <c r="C2" s="74" t="s">
        <v>171</v>
      </c>
      <c r="D2" s="75" t="e">
        <f>IF(C2=#REF!,#REF!,(D28-D26-D24))</f>
        <v>#REF!</v>
      </c>
      <c r="E2" s="76" t="e">
        <f t="shared" ref="E2:E18" si="0">D2*1.2</f>
        <v>#REF!</v>
      </c>
      <c r="F2" s="25"/>
      <c r="G2" s="72" t="s">
        <v>170</v>
      </c>
      <c r="H2" s="73"/>
      <c r="I2" s="74" t="s">
        <v>171</v>
      </c>
      <c r="J2" s="75">
        <f>J27-J25-J23</f>
        <v>80000</v>
      </c>
      <c r="K2" s="76">
        <f t="shared" ref="K2:K18" si="1">J2*1.2</f>
        <v>96000</v>
      </c>
      <c r="L2" s="25"/>
    </row>
    <row r="3" spans="1:12" x14ac:dyDescent="0.25">
      <c r="A3" s="77" t="s">
        <v>60</v>
      </c>
      <c r="B3" s="78" t="s">
        <v>172</v>
      </c>
      <c r="C3" s="79">
        <v>5.0327994600000002E-2</v>
      </c>
      <c r="D3" s="80" t="e">
        <f t="shared" ref="D3:D18" si="2">C3*$D$2</f>
        <v>#REF!</v>
      </c>
      <c r="E3" s="81" t="e">
        <f t="shared" si="0"/>
        <v>#REF!</v>
      </c>
      <c r="F3" s="25"/>
      <c r="G3" s="77" t="s">
        <v>60</v>
      </c>
      <c r="H3" s="78" t="s">
        <v>172</v>
      </c>
      <c r="I3" s="79">
        <v>9.9373944151843405E-2</v>
      </c>
      <c r="J3" s="80">
        <f t="shared" ref="J3:J19" si="3">I3*$J$2</f>
        <v>7949.9155321474727</v>
      </c>
      <c r="K3" s="81">
        <f t="shared" si="1"/>
        <v>9539.8986385769676</v>
      </c>
      <c r="L3" s="82"/>
    </row>
    <row r="4" spans="1:12" ht="30" x14ac:dyDescent="0.25">
      <c r="A4" s="83" t="s">
        <v>61</v>
      </c>
      <c r="B4" s="84" t="s">
        <v>173</v>
      </c>
      <c r="C4" s="82">
        <v>3.9143999999999998E-2</v>
      </c>
      <c r="D4" s="85" t="e">
        <f t="shared" si="2"/>
        <v>#REF!</v>
      </c>
      <c r="E4" s="86" t="e">
        <f t="shared" si="0"/>
        <v>#REF!</v>
      </c>
      <c r="F4" s="25"/>
      <c r="G4" s="83" t="s">
        <v>61</v>
      </c>
      <c r="H4" s="84" t="s">
        <v>173</v>
      </c>
      <c r="I4" s="82">
        <v>8.2568807339449504E-2</v>
      </c>
      <c r="J4" s="85">
        <f t="shared" si="3"/>
        <v>6605.5045871559605</v>
      </c>
      <c r="K4" s="86">
        <f t="shared" si="1"/>
        <v>7926.6055045871526</v>
      </c>
      <c r="L4" s="82"/>
    </row>
    <row r="5" spans="1:12" x14ac:dyDescent="0.25">
      <c r="A5" s="83" t="s">
        <v>174</v>
      </c>
      <c r="B5" s="84" t="s">
        <v>175</v>
      </c>
      <c r="C5" s="82">
        <f>0.0183407</f>
        <v>1.8340700000000001E-2</v>
      </c>
      <c r="D5" s="85" t="e">
        <f t="shared" si="2"/>
        <v>#REF!</v>
      </c>
      <c r="E5" s="86" t="e">
        <f t="shared" si="0"/>
        <v>#REF!</v>
      </c>
      <c r="F5" s="25"/>
      <c r="G5" s="83" t="s">
        <v>174</v>
      </c>
      <c r="H5" s="84" t="s">
        <v>175</v>
      </c>
      <c r="I5" s="82">
        <v>2.9812183245553001E-2</v>
      </c>
      <c r="J5" s="85">
        <f t="shared" si="3"/>
        <v>2384.9746596442401</v>
      </c>
      <c r="K5" s="86">
        <f t="shared" si="1"/>
        <v>2861.9695915730881</v>
      </c>
      <c r="L5" s="82"/>
    </row>
    <row r="6" spans="1:12" ht="30" x14ac:dyDescent="0.25">
      <c r="A6" s="83" t="s">
        <v>63</v>
      </c>
      <c r="B6" s="84" t="s">
        <v>95</v>
      </c>
      <c r="C6" s="82">
        <v>0.15001149221767801</v>
      </c>
      <c r="D6" s="85" t="e">
        <f t="shared" si="2"/>
        <v>#REF!</v>
      </c>
      <c r="E6" s="86" t="e">
        <f t="shared" si="0"/>
        <v>#REF!</v>
      </c>
      <c r="F6" s="25"/>
      <c r="G6" s="83" t="s">
        <v>63</v>
      </c>
      <c r="H6" s="84" t="s">
        <v>95</v>
      </c>
      <c r="I6" s="82">
        <v>0.18881049388850199</v>
      </c>
      <c r="J6" s="85">
        <f t="shared" si="3"/>
        <v>15104.839511080159</v>
      </c>
      <c r="K6" s="86">
        <f t="shared" si="1"/>
        <v>18125.807413296192</v>
      </c>
      <c r="L6" s="82"/>
    </row>
    <row r="7" spans="1:12" ht="30" x14ac:dyDescent="0.25">
      <c r="A7" s="83" t="s">
        <v>64</v>
      </c>
      <c r="B7" s="84" t="s">
        <v>96</v>
      </c>
      <c r="C7" s="82">
        <v>7.8669500000000003E-2</v>
      </c>
      <c r="D7" s="85" t="e">
        <f t="shared" si="2"/>
        <v>#REF!</v>
      </c>
      <c r="E7" s="86" t="e">
        <f t="shared" si="0"/>
        <v>#REF!</v>
      </c>
      <c r="F7" s="25"/>
      <c r="G7" s="83" t="s">
        <v>64</v>
      </c>
      <c r="H7" s="84" t="s">
        <v>96</v>
      </c>
      <c r="I7" s="82">
        <v>9.9373944151843405E-2</v>
      </c>
      <c r="J7" s="85">
        <f t="shared" si="3"/>
        <v>7949.9155321474727</v>
      </c>
      <c r="K7" s="86">
        <f t="shared" si="1"/>
        <v>9539.8986385769676</v>
      </c>
      <c r="L7" s="82"/>
    </row>
    <row r="8" spans="1:12" x14ac:dyDescent="0.25">
      <c r="A8" s="83" t="s">
        <v>65</v>
      </c>
      <c r="B8" s="84" t="s">
        <v>176</v>
      </c>
      <c r="C8" s="82">
        <v>6.3579999999999999E-3</v>
      </c>
      <c r="D8" s="85" t="e">
        <f t="shared" si="2"/>
        <v>#REF!</v>
      </c>
      <c r="E8" s="86" t="e">
        <f t="shared" si="0"/>
        <v>#REF!</v>
      </c>
      <c r="F8" s="25"/>
      <c r="G8" s="83" t="s">
        <v>65</v>
      </c>
      <c r="H8" s="84" t="s">
        <v>176</v>
      </c>
      <c r="I8" s="82">
        <v>9.9373944151843405E-3</v>
      </c>
      <c r="J8" s="85">
        <f t="shared" si="3"/>
        <v>794.99155321474723</v>
      </c>
      <c r="K8" s="86">
        <f t="shared" si="1"/>
        <v>953.98986385769661</v>
      </c>
      <c r="L8" s="82"/>
    </row>
    <row r="9" spans="1:12" x14ac:dyDescent="0.25">
      <c r="A9" s="83" t="s">
        <v>66</v>
      </c>
      <c r="B9" s="84" t="s">
        <v>177</v>
      </c>
      <c r="C9" s="82">
        <v>1.9002739726027399E-2</v>
      </c>
      <c r="D9" s="85" t="e">
        <f t="shared" si="2"/>
        <v>#REF!</v>
      </c>
      <c r="E9" s="86" t="e">
        <f t="shared" si="0"/>
        <v>#REF!</v>
      </c>
      <c r="F9" s="25"/>
      <c r="G9" s="83" t="s">
        <v>66</v>
      </c>
      <c r="H9" s="84" t="s">
        <v>177</v>
      </c>
      <c r="I9" s="82">
        <v>0</v>
      </c>
      <c r="J9" s="85">
        <f t="shared" si="3"/>
        <v>0</v>
      </c>
      <c r="K9" s="86">
        <f t="shared" si="1"/>
        <v>0</v>
      </c>
      <c r="L9" s="82"/>
    </row>
    <row r="10" spans="1:12" x14ac:dyDescent="0.25">
      <c r="A10" s="83" t="s">
        <v>67</v>
      </c>
      <c r="B10" s="84" t="s">
        <v>178</v>
      </c>
      <c r="C10" s="82">
        <v>1.11627906976744E-2</v>
      </c>
      <c r="D10" s="85" t="e">
        <f t="shared" si="2"/>
        <v>#REF!</v>
      </c>
      <c r="E10" s="86" t="e">
        <f t="shared" si="0"/>
        <v>#REF!</v>
      </c>
      <c r="F10" s="25"/>
      <c r="G10" s="83" t="s">
        <v>67</v>
      </c>
      <c r="H10" s="84" t="s">
        <v>178</v>
      </c>
      <c r="I10" s="82">
        <v>0</v>
      </c>
      <c r="J10" s="85">
        <f t="shared" si="3"/>
        <v>0</v>
      </c>
      <c r="K10" s="86">
        <f t="shared" si="1"/>
        <v>0</v>
      </c>
      <c r="L10" s="82"/>
    </row>
    <row r="11" spans="1:12" ht="30" x14ac:dyDescent="0.25">
      <c r="A11" s="83" t="s">
        <v>68</v>
      </c>
      <c r="B11" s="84" t="s">
        <v>97</v>
      </c>
      <c r="C11" s="82">
        <v>0.15</v>
      </c>
      <c r="D11" s="85" t="e">
        <f t="shared" si="2"/>
        <v>#REF!</v>
      </c>
      <c r="E11" s="86" t="e">
        <f t="shared" si="0"/>
        <v>#REF!</v>
      </c>
      <c r="F11" s="25"/>
      <c r="G11" s="83" t="s">
        <v>68</v>
      </c>
      <c r="H11" s="84" t="s">
        <v>97</v>
      </c>
      <c r="I11" s="82">
        <v>9.9373944151843405E-2</v>
      </c>
      <c r="J11" s="85">
        <f t="shared" si="3"/>
        <v>7949.9155321474727</v>
      </c>
      <c r="K11" s="86">
        <f t="shared" si="1"/>
        <v>9539.8986385769676</v>
      </c>
      <c r="L11" s="82"/>
    </row>
    <row r="12" spans="1:12" ht="30" x14ac:dyDescent="0.25">
      <c r="A12" s="83" t="s">
        <v>69</v>
      </c>
      <c r="B12" s="84" t="s">
        <v>179</v>
      </c>
      <c r="C12" s="82">
        <v>4.1017600000000001E-2</v>
      </c>
      <c r="D12" s="85" t="e">
        <f t="shared" si="2"/>
        <v>#REF!</v>
      </c>
      <c r="E12" s="86" t="e">
        <f t="shared" si="0"/>
        <v>#REF!</v>
      </c>
      <c r="F12" s="25"/>
      <c r="G12" s="83" t="s">
        <v>69</v>
      </c>
      <c r="H12" s="84" t="s">
        <v>179</v>
      </c>
      <c r="I12" s="82">
        <v>6.9561760906290404E-2</v>
      </c>
      <c r="J12" s="85">
        <f t="shared" si="3"/>
        <v>5564.9408725032326</v>
      </c>
      <c r="K12" s="86">
        <f t="shared" si="1"/>
        <v>6677.9290470038786</v>
      </c>
      <c r="L12" s="82"/>
    </row>
    <row r="13" spans="1:12" x14ac:dyDescent="0.25">
      <c r="A13" s="83" t="s">
        <v>70</v>
      </c>
      <c r="B13" s="84" t="s">
        <v>98</v>
      </c>
      <c r="C13" s="82">
        <v>7.99729E-2</v>
      </c>
      <c r="D13" s="85" t="e">
        <f t="shared" si="2"/>
        <v>#REF!</v>
      </c>
      <c r="E13" s="86" t="e">
        <f t="shared" si="0"/>
        <v>#REF!</v>
      </c>
      <c r="F13" s="25"/>
      <c r="G13" s="83" t="s">
        <v>70</v>
      </c>
      <c r="H13" s="84" t="s">
        <v>98</v>
      </c>
      <c r="I13" s="82">
        <v>0.12581288342159999</v>
      </c>
      <c r="J13" s="85">
        <f t="shared" si="3"/>
        <v>10065.030673727999</v>
      </c>
      <c r="K13" s="86">
        <f t="shared" si="1"/>
        <v>12078.036808473598</v>
      </c>
      <c r="L13" s="82"/>
    </row>
    <row r="14" spans="1:12" ht="45" x14ac:dyDescent="0.25">
      <c r="A14" s="83" t="s">
        <v>71</v>
      </c>
      <c r="B14" s="84" t="s">
        <v>180</v>
      </c>
      <c r="C14" s="82">
        <v>5.5577999999999999E-3</v>
      </c>
      <c r="D14" s="85" t="e">
        <f t="shared" si="2"/>
        <v>#REF!</v>
      </c>
      <c r="E14" s="86" t="e">
        <f t="shared" si="0"/>
        <v>#REF!</v>
      </c>
      <c r="F14" s="25"/>
      <c r="G14" s="83" t="s">
        <v>71</v>
      </c>
      <c r="H14" s="84" t="s">
        <v>180</v>
      </c>
      <c r="I14" s="82">
        <v>0</v>
      </c>
      <c r="J14" s="85">
        <f t="shared" si="3"/>
        <v>0</v>
      </c>
      <c r="K14" s="86">
        <f t="shared" si="1"/>
        <v>0</v>
      </c>
      <c r="L14" s="82"/>
    </row>
    <row r="15" spans="1:12" ht="30" x14ac:dyDescent="0.25">
      <c r="A15" s="83" t="s">
        <v>72</v>
      </c>
      <c r="B15" s="84" t="s">
        <v>99</v>
      </c>
      <c r="C15" s="82">
        <v>4.2734482758620698E-2</v>
      </c>
      <c r="D15" s="85" t="e">
        <f t="shared" si="2"/>
        <v>#REF!</v>
      </c>
      <c r="E15" s="86" t="e">
        <f t="shared" si="0"/>
        <v>#REF!</v>
      </c>
      <c r="F15" s="25"/>
      <c r="G15" s="83" t="s">
        <v>72</v>
      </c>
      <c r="H15" s="84" t="s">
        <v>99</v>
      </c>
      <c r="I15" s="82">
        <v>4.9686972075921702E-2</v>
      </c>
      <c r="J15" s="85">
        <f t="shared" si="3"/>
        <v>3974.9577660737364</v>
      </c>
      <c r="K15" s="86">
        <f t="shared" si="1"/>
        <v>4769.9493192884838</v>
      </c>
      <c r="L15" s="82"/>
    </row>
    <row r="16" spans="1:12" x14ac:dyDescent="0.25">
      <c r="A16" s="83" t="s">
        <v>73</v>
      </c>
      <c r="B16" s="84" t="s">
        <v>100</v>
      </c>
      <c r="C16" s="82">
        <v>0.1</v>
      </c>
      <c r="D16" s="85" t="e">
        <f t="shared" si="2"/>
        <v>#REF!</v>
      </c>
      <c r="E16" s="86" t="e">
        <f t="shared" si="0"/>
        <v>#REF!</v>
      </c>
      <c r="F16" s="25"/>
      <c r="G16" s="83" t="s">
        <v>73</v>
      </c>
      <c r="H16" s="84" t="s">
        <v>100</v>
      </c>
      <c r="I16" s="82">
        <v>0.12581288342159999</v>
      </c>
      <c r="J16" s="85">
        <f t="shared" si="3"/>
        <v>10065.030673727999</v>
      </c>
      <c r="K16" s="86">
        <f t="shared" si="1"/>
        <v>12078.036808473598</v>
      </c>
      <c r="L16" s="82"/>
    </row>
    <row r="17" spans="1:12" ht="30" x14ac:dyDescent="0.25">
      <c r="A17" s="83" t="s">
        <v>74</v>
      </c>
      <c r="B17" s="84" t="s">
        <v>181</v>
      </c>
      <c r="C17" s="82">
        <v>5.5E-2</v>
      </c>
      <c r="D17" s="85" t="e">
        <f t="shared" si="2"/>
        <v>#REF!</v>
      </c>
      <c r="E17" s="86" t="e">
        <f t="shared" si="0"/>
        <v>#REF!</v>
      </c>
      <c r="F17" s="25"/>
      <c r="G17" s="83" t="s">
        <v>74</v>
      </c>
      <c r="H17" s="84" t="s">
        <v>181</v>
      </c>
      <c r="I17" s="82">
        <v>9.9373944151843405E-3</v>
      </c>
      <c r="J17" s="85">
        <f t="shared" si="3"/>
        <v>794.99155321474723</v>
      </c>
      <c r="K17" s="86">
        <f t="shared" si="1"/>
        <v>953.98986385769661</v>
      </c>
      <c r="L17" s="82"/>
    </row>
    <row r="18" spans="1:12" ht="30" x14ac:dyDescent="0.25">
      <c r="A18" s="83" t="s">
        <v>75</v>
      </c>
      <c r="B18" s="84" t="s">
        <v>182</v>
      </c>
      <c r="C18" s="82">
        <v>5.2699999999999997E-2</v>
      </c>
      <c r="D18" s="85" t="e">
        <f t="shared" si="2"/>
        <v>#REF!</v>
      </c>
      <c r="E18" s="86" t="e">
        <f t="shared" si="0"/>
        <v>#REF!</v>
      </c>
      <c r="F18" s="25"/>
      <c r="G18" s="83" t="s">
        <v>75</v>
      </c>
      <c r="H18" s="84" t="s">
        <v>182</v>
      </c>
      <c r="I18" s="82">
        <v>9.9373944151843405E-3</v>
      </c>
      <c r="J18" s="85">
        <f t="shared" si="3"/>
        <v>794.99155321474723</v>
      </c>
      <c r="K18" s="86">
        <f t="shared" si="1"/>
        <v>953.98986385769661</v>
      </c>
      <c r="L18" s="82"/>
    </row>
    <row r="19" spans="1:12" x14ac:dyDescent="0.25">
      <c r="A19" s="83" t="s">
        <v>77</v>
      </c>
      <c r="B19" s="84" t="s">
        <v>183</v>
      </c>
      <c r="C19" s="87" t="s">
        <v>184</v>
      </c>
      <c r="D19" s="85" t="s">
        <v>185</v>
      </c>
      <c r="E19" s="86" t="s">
        <v>185</v>
      </c>
      <c r="F19" s="25"/>
      <c r="G19" s="83" t="s">
        <v>77</v>
      </c>
      <c r="H19" s="84" t="s">
        <v>183</v>
      </c>
      <c r="I19" s="87">
        <v>0</v>
      </c>
      <c r="J19" s="85">
        <f t="shared" si="3"/>
        <v>0</v>
      </c>
      <c r="K19" s="86" t="s">
        <v>185</v>
      </c>
      <c r="L19" s="82"/>
    </row>
    <row r="20" spans="1:12" x14ac:dyDescent="0.25">
      <c r="A20" s="88" t="s">
        <v>78</v>
      </c>
      <c r="B20" s="89" t="s">
        <v>78</v>
      </c>
      <c r="C20" s="90">
        <v>0.1</v>
      </c>
      <c r="D20" s="91" t="e">
        <f>C20*$D$2</f>
        <v>#REF!</v>
      </c>
      <c r="E20" s="92" t="e">
        <f>D20*1.2</f>
        <v>#REF!</v>
      </c>
      <c r="F20" s="25"/>
      <c r="G20" s="93" t="s">
        <v>186</v>
      </c>
      <c r="H20" s="94"/>
      <c r="I20" s="95">
        <f>SUM(I3:I19)</f>
        <v>1</v>
      </c>
      <c r="J20" s="96">
        <f>SUM(J3:J19)</f>
        <v>79999.999999999985</v>
      </c>
      <c r="K20" s="97">
        <f>SUM(K3:K19)</f>
        <v>96000</v>
      </c>
      <c r="L20" s="82"/>
    </row>
    <row r="21" spans="1:12" x14ac:dyDescent="0.25">
      <c r="A21" s="93" t="s">
        <v>186</v>
      </c>
      <c r="B21" s="94"/>
      <c r="C21" s="95">
        <f>SUM(C3:C19)</f>
        <v>0.90000000000000036</v>
      </c>
      <c r="D21" s="96" t="e">
        <f>SUM(D3:D20)</f>
        <v>#REF!</v>
      </c>
      <c r="E21" s="97" t="e">
        <f>SUM(E3:E20)</f>
        <v>#REF!</v>
      </c>
      <c r="F21" s="25"/>
      <c r="G21" s="77" t="s">
        <v>78</v>
      </c>
      <c r="H21" s="98" t="s">
        <v>78</v>
      </c>
      <c r="I21" s="79">
        <v>0.1</v>
      </c>
      <c r="J21" s="80">
        <f>I21*(J27-J25)</f>
        <v>10000</v>
      </c>
      <c r="K21" s="81">
        <f>J21*1.2</f>
        <v>12000</v>
      </c>
      <c r="L21" s="82"/>
    </row>
    <row r="22" spans="1:12" x14ac:dyDescent="0.25">
      <c r="A22" s="77"/>
      <c r="B22" s="98"/>
      <c r="C22" s="79"/>
      <c r="D22" s="80"/>
      <c r="E22" s="81"/>
      <c r="F22" s="25"/>
      <c r="G22" s="88" t="s">
        <v>80</v>
      </c>
      <c r="H22" s="99" t="s">
        <v>80</v>
      </c>
      <c r="I22" s="90">
        <v>0.1</v>
      </c>
      <c r="J22" s="91">
        <f>I22*(J27-J25)</f>
        <v>10000</v>
      </c>
      <c r="K22" s="92">
        <f>J22*1.2</f>
        <v>12000</v>
      </c>
      <c r="L22" s="82"/>
    </row>
    <row r="23" spans="1:12" x14ac:dyDescent="0.25">
      <c r="A23" s="88" t="s">
        <v>80</v>
      </c>
      <c r="B23" s="99" t="s">
        <v>80</v>
      </c>
      <c r="C23" s="90">
        <v>0.1</v>
      </c>
      <c r="D23" s="91">
        <f>C23*(D28-D26)</f>
        <v>10000</v>
      </c>
      <c r="E23" s="92">
        <f>D23*1.2</f>
        <v>12000</v>
      </c>
      <c r="F23" s="25"/>
      <c r="G23" s="93" t="s">
        <v>187</v>
      </c>
      <c r="H23" s="94"/>
      <c r="I23" s="95">
        <f>SUM(I22:I22)</f>
        <v>0.1</v>
      </c>
      <c r="J23" s="100">
        <f>SUM(J21:J22)</f>
        <v>20000</v>
      </c>
      <c r="K23" s="101">
        <f>SUM(K22:K22)</f>
        <v>12000</v>
      </c>
      <c r="L23" s="25"/>
    </row>
    <row r="24" spans="1:12" x14ac:dyDescent="0.25">
      <c r="A24" s="93" t="s">
        <v>187</v>
      </c>
      <c r="B24" s="94"/>
      <c r="C24" s="95">
        <f>SUM(C23:C23)</f>
        <v>0.1</v>
      </c>
      <c r="D24" s="100">
        <f>SUM(D23:D23)</f>
        <v>10000</v>
      </c>
      <c r="E24" s="101">
        <f>SUM(E23:E23)</f>
        <v>12000</v>
      </c>
      <c r="F24" s="25"/>
      <c r="G24" s="25"/>
      <c r="H24" s="25"/>
      <c r="I24" s="25"/>
      <c r="J24" s="102"/>
      <c r="K24" s="102"/>
      <c r="L24" s="25"/>
    </row>
    <row r="25" spans="1:12" x14ac:dyDescent="0.25">
      <c r="A25" s="25"/>
      <c r="B25" s="25"/>
      <c r="C25" s="25"/>
      <c r="D25" s="102"/>
      <c r="E25" s="102"/>
      <c r="F25" s="25"/>
      <c r="G25" s="93" t="s">
        <v>188</v>
      </c>
      <c r="H25" s="94"/>
      <c r="I25" s="103">
        <f>J25/J27</f>
        <v>0.75</v>
      </c>
      <c r="J25" s="96">
        <v>300000</v>
      </c>
      <c r="K25" s="97">
        <f>J25*1.2</f>
        <v>360000</v>
      </c>
      <c r="L25" s="25"/>
    </row>
    <row r="26" spans="1:12" x14ac:dyDescent="0.25">
      <c r="A26" s="93" t="s">
        <v>188</v>
      </c>
      <c r="B26" s="94"/>
      <c r="C26" s="103">
        <f>D26/D28</f>
        <v>0.75</v>
      </c>
      <c r="D26" s="96">
        <f>300000</f>
        <v>300000</v>
      </c>
      <c r="E26" s="97">
        <f>D26*1.2</f>
        <v>360000</v>
      </c>
      <c r="F26" s="25"/>
      <c r="G26" s="25"/>
      <c r="H26" s="25"/>
      <c r="I26" s="25"/>
      <c r="J26" s="102"/>
      <c r="K26" s="102"/>
      <c r="L26" s="25"/>
    </row>
    <row r="27" spans="1:12" x14ac:dyDescent="0.25">
      <c r="A27" s="25"/>
      <c r="B27" s="25"/>
      <c r="C27" s="25"/>
      <c r="D27" s="102"/>
      <c r="E27" s="102"/>
      <c r="F27" s="25"/>
      <c r="G27" s="104" t="s">
        <v>189</v>
      </c>
      <c r="H27" s="105"/>
      <c r="I27" s="106" t="str">
        <f>I2</f>
        <v>Etudes Monographies vins</v>
      </c>
      <c r="J27" s="107">
        <v>400000</v>
      </c>
      <c r="K27" s="108">
        <f>J27*1.2</f>
        <v>480000</v>
      </c>
      <c r="L27" s="25"/>
    </row>
    <row r="28" spans="1:12" x14ac:dyDescent="0.25">
      <c r="A28" s="104" t="s">
        <v>189</v>
      </c>
      <c r="B28" s="105"/>
      <c r="C28" s="106" t="str">
        <f>C2</f>
        <v>Etudes Monographies vins</v>
      </c>
      <c r="D28" s="107">
        <f>400000</f>
        <v>400000</v>
      </c>
      <c r="E28" s="108">
        <f>D28*1.2</f>
        <v>480000</v>
      </c>
      <c r="F28" s="25"/>
      <c r="G28" s="25"/>
      <c r="H28" s="25"/>
      <c r="I28" s="25"/>
      <c r="J28" s="25"/>
      <c r="K28" s="25"/>
      <c r="L28" s="2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topLeftCell="A19" workbookViewId="0">
      <selection activeCell="C5" sqref="C5"/>
    </sheetView>
  </sheetViews>
  <sheetFormatPr baseColWidth="10" defaultColWidth="9.140625" defaultRowHeight="15" x14ac:dyDescent="0.25"/>
  <cols>
    <col min="1" max="1" width="9.140625" style="1"/>
    <col min="2" max="2" width="9.140625" style="4"/>
    <col min="3" max="3" width="9.140625" style="7"/>
    <col min="4" max="4" width="9.140625" style="4"/>
    <col min="5" max="5" width="9.140625" style="9"/>
    <col min="6" max="7" width="9.140625" style="5"/>
    <col min="8" max="8" width="9.140625" style="9"/>
    <col min="9" max="9" width="9.140625" style="5"/>
    <col min="10" max="10" width="9.140625" style="9"/>
    <col min="11" max="12" width="9.140625" style="5"/>
    <col min="13" max="13" width="9.140625" style="4"/>
    <col min="14" max="15" width="9.140625" style="5"/>
    <col min="16" max="16" width="9.140625" style="4"/>
    <col min="17" max="18" width="9.140625" style="5"/>
    <col min="19" max="19" width="9.140625" style="4"/>
    <col min="20" max="21" width="9.140625" style="5"/>
    <col min="22" max="22" width="9.140625" style="9"/>
    <col min="23" max="23" width="9.140625" style="1"/>
    <col min="24" max="24" width="9.140625" style="3"/>
    <col min="25" max="25" width="9.140625" style="7"/>
    <col min="26" max="1024" width="9.140625" style="1"/>
  </cols>
  <sheetData>
    <row r="1" spans="1:1024" s="10" customFormat="1" ht="15" customHeight="1" x14ac:dyDescent="0.25">
      <c r="A1" s="841" t="s">
        <v>190</v>
      </c>
      <c r="B1" s="841"/>
      <c r="C1" s="841"/>
      <c r="D1" s="109" t="s">
        <v>191</v>
      </c>
      <c r="E1" s="15"/>
      <c r="F1" s="14"/>
      <c r="G1" s="14"/>
      <c r="H1" s="15"/>
      <c r="I1" s="14"/>
      <c r="J1" s="15"/>
      <c r="K1" s="14"/>
      <c r="L1" s="14"/>
      <c r="M1" s="13"/>
      <c r="N1" s="14"/>
      <c r="O1" s="14"/>
      <c r="P1" s="13"/>
      <c r="Q1" s="14"/>
      <c r="R1" s="14"/>
      <c r="S1" s="13"/>
      <c r="T1" s="14"/>
      <c r="U1" s="14"/>
      <c r="V1" s="15"/>
      <c r="X1" s="12"/>
      <c r="Y1" s="16"/>
    </row>
    <row r="2" spans="1:1024" ht="15.75" customHeight="1" x14ac:dyDescent="0.25">
      <c r="A2" s="17"/>
      <c r="B2" s="842" t="s">
        <v>192</v>
      </c>
      <c r="C2" s="842"/>
      <c r="D2" s="842"/>
      <c r="E2" s="842"/>
      <c r="F2" s="842"/>
      <c r="G2" s="14"/>
      <c r="H2" s="15"/>
      <c r="I2" s="14"/>
      <c r="J2" s="15"/>
      <c r="K2" s="14"/>
      <c r="L2" s="14"/>
      <c r="M2" s="13"/>
      <c r="N2" s="14"/>
      <c r="O2" s="14"/>
      <c r="P2" s="13"/>
      <c r="Q2" s="14"/>
      <c r="R2" s="14"/>
      <c r="S2" s="13"/>
      <c r="T2" s="14"/>
      <c r="U2" s="14"/>
      <c r="V2" s="15"/>
      <c r="W2" s="25"/>
      <c r="X2" s="12"/>
      <c r="Y2" s="1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</row>
    <row r="3" spans="1:1024" x14ac:dyDescent="0.25">
      <c r="A3" s="110"/>
      <c r="B3" s="110"/>
      <c r="C3" s="110"/>
      <c r="D3" s="109"/>
      <c r="E3" s="15"/>
      <c r="F3" s="14"/>
      <c r="G3" s="14"/>
      <c r="H3" s="15"/>
      <c r="I3" s="14"/>
      <c r="J3" s="15"/>
      <c r="K3" s="14"/>
      <c r="L3" s="14"/>
      <c r="M3" s="13"/>
      <c r="N3" s="14"/>
      <c r="O3" s="14"/>
      <c r="P3" s="13"/>
      <c r="Q3" s="14"/>
      <c r="R3" s="14"/>
      <c r="S3" s="13"/>
      <c r="T3" s="14"/>
      <c r="U3" s="14"/>
      <c r="V3" s="15"/>
      <c r="W3" s="25"/>
      <c r="X3" s="12"/>
      <c r="Y3" s="1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</row>
    <row r="4" spans="1:1024" ht="30" x14ac:dyDescent="0.25">
      <c r="A4" s="72" t="s">
        <v>193</v>
      </c>
      <c r="B4" s="111" t="s">
        <v>93</v>
      </c>
      <c r="C4" s="112" t="s">
        <v>194</v>
      </c>
      <c r="D4" s="25"/>
      <c r="E4" s="72" t="s">
        <v>193</v>
      </c>
      <c r="F4" s="111" t="s">
        <v>93</v>
      </c>
      <c r="G4" s="112" t="s">
        <v>195</v>
      </c>
      <c r="H4" s="15"/>
      <c r="I4" s="14"/>
      <c r="J4" s="15"/>
      <c r="K4" s="14"/>
      <c r="L4" s="14"/>
      <c r="M4" s="13"/>
      <c r="N4" s="14"/>
      <c r="O4" s="14"/>
      <c r="P4" s="13"/>
      <c r="Q4" s="14"/>
      <c r="R4" s="14"/>
      <c r="S4" s="13"/>
      <c r="T4" s="14"/>
      <c r="U4" s="14"/>
      <c r="V4" s="15"/>
      <c r="W4" s="25"/>
      <c r="X4" s="12"/>
      <c r="Y4" s="16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</row>
    <row r="5" spans="1:1024" ht="75" x14ac:dyDescent="0.25">
      <c r="A5" s="113" t="s">
        <v>196</v>
      </c>
      <c r="B5" s="114" t="e">
        <f>C19+C26+C35</f>
        <v>#REF!</v>
      </c>
      <c r="C5" s="115" t="e">
        <f>B5*1.2</f>
        <v>#REF!</v>
      </c>
      <c r="D5" s="25"/>
      <c r="E5" s="113" t="s">
        <v>196</v>
      </c>
      <c r="F5" s="114">
        <f>G19+G26+G35</f>
        <v>837923.05</v>
      </c>
      <c r="G5" s="115">
        <f>F5*1.2</f>
        <v>1005507.66</v>
      </c>
      <c r="H5" s="15"/>
      <c r="I5" s="14"/>
      <c r="J5" s="15"/>
      <c r="K5" s="14"/>
      <c r="L5" s="14"/>
      <c r="M5" s="13"/>
      <c r="N5" s="14"/>
      <c r="O5" s="14"/>
      <c r="P5" s="13"/>
      <c r="Q5" s="14"/>
      <c r="R5" s="14"/>
      <c r="S5" s="13"/>
      <c r="T5" s="14"/>
      <c r="U5" s="14"/>
      <c r="V5" s="15"/>
      <c r="W5" s="25"/>
      <c r="X5" s="12"/>
      <c r="Y5" s="16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</row>
    <row r="6" spans="1:1024" x14ac:dyDescent="0.25">
      <c r="A6" s="110"/>
      <c r="B6" s="110"/>
      <c r="C6" s="110"/>
      <c r="D6" s="109"/>
      <c r="E6" s="15"/>
      <c r="F6" s="14"/>
      <c r="G6" s="14"/>
      <c r="H6" s="15"/>
      <c r="I6" s="14"/>
      <c r="J6" s="15"/>
      <c r="K6" s="14"/>
      <c r="L6" s="14"/>
      <c r="M6" s="13"/>
      <c r="N6" s="14"/>
      <c r="O6" s="14"/>
      <c r="P6" s="13"/>
      <c r="Q6" s="14"/>
      <c r="R6" s="14"/>
      <c r="S6" s="13"/>
      <c r="T6" s="14"/>
      <c r="U6" s="14"/>
      <c r="V6" s="15"/>
      <c r="W6" s="25"/>
      <c r="X6" s="12"/>
      <c r="Y6" s="16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</row>
    <row r="7" spans="1:1024" ht="15" customHeight="1" x14ac:dyDescent="0.25">
      <c r="A7" s="116"/>
      <c r="B7" s="840" t="s">
        <v>197</v>
      </c>
      <c r="C7" s="840"/>
      <c r="D7" s="840"/>
      <c r="E7" s="116"/>
      <c r="F7" s="840" t="s">
        <v>198</v>
      </c>
      <c r="G7" s="840"/>
      <c r="H7" s="840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</row>
    <row r="8" spans="1:1024" ht="30" x14ac:dyDescent="0.25">
      <c r="A8" s="10" t="s">
        <v>199</v>
      </c>
      <c r="B8" s="117" t="s">
        <v>43</v>
      </c>
      <c r="C8" s="53" t="s">
        <v>200</v>
      </c>
      <c r="D8" s="117" t="s">
        <v>188</v>
      </c>
      <c r="E8" s="10" t="s">
        <v>199</v>
      </c>
      <c r="F8" s="117" t="s">
        <v>43</v>
      </c>
      <c r="G8" s="53" t="s">
        <v>200</v>
      </c>
      <c r="H8" s="117" t="s">
        <v>188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</row>
    <row r="9" spans="1:1024" ht="60" x14ac:dyDescent="0.25">
      <c r="A9" s="20" t="s">
        <v>201</v>
      </c>
      <c r="B9" s="53" t="e">
        <f>#REF!</f>
        <v>#REF!</v>
      </c>
      <c r="C9" s="53" t="e">
        <f>#REF!</f>
        <v>#REF!</v>
      </c>
      <c r="D9" s="53" t="e">
        <f>#REF!</f>
        <v>#REF!</v>
      </c>
      <c r="E9" s="20" t="s">
        <v>201</v>
      </c>
      <c r="F9" s="53">
        <v>478994</v>
      </c>
      <c r="G9" s="53">
        <v>346790</v>
      </c>
      <c r="H9" s="53">
        <v>132204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ht="45" x14ac:dyDescent="0.25">
      <c r="A10" s="20" t="s">
        <v>202</v>
      </c>
      <c r="B10" s="53" t="e">
        <f>#REF!</f>
        <v>#REF!</v>
      </c>
      <c r="C10" s="53" t="e">
        <f>#REF!</f>
        <v>#REF!</v>
      </c>
      <c r="D10" s="53" t="e">
        <f>#REF!</f>
        <v>#REF!</v>
      </c>
      <c r="E10" s="20" t="s">
        <v>202</v>
      </c>
      <c r="F10" s="53">
        <v>0</v>
      </c>
      <c r="G10" s="53">
        <v>0</v>
      </c>
      <c r="H10" s="53">
        <v>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ht="105" x14ac:dyDescent="0.25">
      <c r="A11" s="20" t="s">
        <v>203</v>
      </c>
      <c r="B11" s="53" t="e">
        <f>#REF!</f>
        <v>#REF!</v>
      </c>
      <c r="C11" s="53" t="e">
        <f>#REF!</f>
        <v>#REF!</v>
      </c>
      <c r="D11" s="53" t="e">
        <f>#REF!</f>
        <v>#REF!</v>
      </c>
      <c r="E11" s="20" t="s">
        <v>203</v>
      </c>
      <c r="F11" s="53">
        <v>114111</v>
      </c>
      <c r="G11" s="53">
        <v>57055</v>
      </c>
      <c r="H11" s="53">
        <v>45644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120" x14ac:dyDescent="0.25">
      <c r="A12" s="20" t="s">
        <v>105</v>
      </c>
      <c r="B12" s="53" t="e">
        <f>#REF!</f>
        <v>#REF!</v>
      </c>
      <c r="C12" s="53" t="e">
        <f>#REF!</f>
        <v>#REF!</v>
      </c>
      <c r="D12" s="53" t="e">
        <f>#REF!</f>
        <v>#REF!</v>
      </c>
      <c r="E12" s="20" t="s">
        <v>105</v>
      </c>
      <c r="F12" s="53">
        <v>125910</v>
      </c>
      <c r="G12" s="53">
        <v>62955</v>
      </c>
      <c r="H12" s="53">
        <v>50364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</row>
    <row r="13" spans="1:1024" ht="60" x14ac:dyDescent="0.25">
      <c r="A13" s="20" t="s">
        <v>204</v>
      </c>
      <c r="B13" s="53" t="e">
        <f>#REF!</f>
        <v>#REF!</v>
      </c>
      <c r="C13" s="53" t="e">
        <f>#REF!</f>
        <v>#REF!</v>
      </c>
      <c r="D13" s="53" t="e">
        <f>#REF!</f>
        <v>#REF!</v>
      </c>
      <c r="E13" s="20" t="s">
        <v>204</v>
      </c>
      <c r="F13" s="53">
        <v>88782</v>
      </c>
      <c r="G13" s="53">
        <v>44391</v>
      </c>
      <c r="H13" s="53">
        <v>35513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</row>
    <row r="14" spans="1:1024" ht="75" x14ac:dyDescent="0.25">
      <c r="A14" s="20" t="s">
        <v>205</v>
      </c>
      <c r="B14" s="53" t="e">
        <f>#REF!</f>
        <v>#REF!</v>
      </c>
      <c r="C14" s="53" t="e">
        <f>#REF!</f>
        <v>#REF!</v>
      </c>
      <c r="D14" s="53" t="e">
        <f>#REF!</f>
        <v>#REF!</v>
      </c>
      <c r="E14" s="20" t="s">
        <v>205</v>
      </c>
      <c r="F14" s="53">
        <v>213623</v>
      </c>
      <c r="G14" s="53">
        <v>116000</v>
      </c>
      <c r="H14" s="53">
        <v>97623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</row>
    <row r="15" spans="1:1024" ht="75" x14ac:dyDescent="0.25">
      <c r="A15" s="20" t="s">
        <v>206</v>
      </c>
      <c r="B15" s="53" t="e">
        <f>#REF!</f>
        <v>#REF!</v>
      </c>
      <c r="C15" s="53" t="e">
        <f>#REF!</f>
        <v>#REF!</v>
      </c>
      <c r="D15" s="53" t="e">
        <f>#REF!</f>
        <v>#REF!</v>
      </c>
      <c r="E15" s="20" t="s">
        <v>206</v>
      </c>
      <c r="F15" s="53">
        <v>53158</v>
      </c>
      <c r="G15" s="53">
        <v>31895</v>
      </c>
      <c r="H15" s="53">
        <v>21263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</row>
    <row r="16" spans="1:1024" ht="120" x14ac:dyDescent="0.25">
      <c r="A16" s="20" t="s">
        <v>207</v>
      </c>
      <c r="B16" s="53" t="e">
        <f>#REF!</f>
        <v>#REF!</v>
      </c>
      <c r="C16" s="53" t="e">
        <f>#REF!</f>
        <v>#REF!</v>
      </c>
      <c r="D16" s="53" t="e">
        <f>#REF!</f>
        <v>#REF!</v>
      </c>
      <c r="E16" s="20" t="s">
        <v>207</v>
      </c>
      <c r="F16" s="53">
        <v>42799</v>
      </c>
      <c r="G16" s="53">
        <v>25679</v>
      </c>
      <c r="H16" s="53">
        <v>17120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</row>
    <row r="17" spans="1:1024" ht="120" x14ac:dyDescent="0.25">
      <c r="A17" s="118" t="s">
        <v>208</v>
      </c>
      <c r="B17" s="119">
        <v>50000</v>
      </c>
      <c r="C17" s="119">
        <v>30000</v>
      </c>
      <c r="D17" s="119">
        <v>20000</v>
      </c>
      <c r="E17" s="20"/>
      <c r="F17" s="20"/>
      <c r="G17" s="20"/>
      <c r="H17" s="20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</row>
    <row r="18" spans="1:1024" ht="30.75" customHeight="1" x14ac:dyDescent="0.25">
      <c r="A18" s="120"/>
      <c r="B18" s="121"/>
      <c r="C18" s="122"/>
      <c r="D18" s="121"/>
      <c r="E18" s="123" t="s">
        <v>209</v>
      </c>
      <c r="F18" s="124">
        <v>141608</v>
      </c>
      <c r="G18" s="124">
        <v>35402</v>
      </c>
      <c r="H18" s="124">
        <v>106206</v>
      </c>
      <c r="I18" s="843" t="s">
        <v>210</v>
      </c>
      <c r="J18" s="84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</row>
    <row r="19" spans="1:1024" s="10" customFormat="1" ht="45" x14ac:dyDescent="0.25">
      <c r="A19" s="18" t="s">
        <v>211</v>
      </c>
      <c r="B19" s="125" t="e">
        <f>SUM(B9:B18)</f>
        <v>#REF!</v>
      </c>
      <c r="C19" s="125" t="e">
        <f>SUM(C9:C18)</f>
        <v>#REF!</v>
      </c>
      <c r="D19" s="125" t="e">
        <f>SUM(D9:D18)</f>
        <v>#REF!</v>
      </c>
      <c r="E19" s="126" t="s">
        <v>211</v>
      </c>
      <c r="F19" s="127">
        <f>SUM(F9:F18)</f>
        <v>1258985</v>
      </c>
      <c r="G19" s="127">
        <f>SUM(G9:G18)</f>
        <v>720167</v>
      </c>
      <c r="H19" s="127">
        <f>SUM(H9:H18)</f>
        <v>505937</v>
      </c>
      <c r="I19" s="14"/>
      <c r="J19" s="15"/>
      <c r="K19" s="14"/>
      <c r="L19" s="14"/>
      <c r="M19" s="13"/>
      <c r="N19" s="14"/>
      <c r="O19" s="14"/>
      <c r="P19" s="13"/>
      <c r="Q19" s="14"/>
      <c r="R19" s="14"/>
      <c r="S19" s="13"/>
      <c r="T19" s="14"/>
      <c r="U19" s="14"/>
      <c r="V19" s="15"/>
      <c r="X19" s="12"/>
      <c r="Y19" s="16"/>
    </row>
    <row r="20" spans="1:1024" x14ac:dyDescent="0.25">
      <c r="A20" s="21"/>
      <c r="B20" s="58"/>
      <c r="C20" s="58"/>
      <c r="D20" s="58"/>
      <c r="E20" s="21"/>
      <c r="F20" s="25"/>
      <c r="G20" s="58"/>
      <c r="H20" s="58"/>
      <c r="I20" s="14"/>
      <c r="J20" s="15"/>
      <c r="K20" s="14"/>
      <c r="L20" s="14"/>
      <c r="M20" s="13"/>
      <c r="N20" s="14"/>
      <c r="O20" s="14"/>
      <c r="P20" s="13"/>
      <c r="Q20" s="14"/>
      <c r="R20" s="14"/>
      <c r="S20" s="13"/>
      <c r="T20" s="14"/>
      <c r="U20" s="14"/>
      <c r="V20" s="15"/>
      <c r="X20" s="12"/>
      <c r="Y20" s="16"/>
    </row>
    <row r="21" spans="1:1024" ht="15" customHeight="1" x14ac:dyDescent="0.25">
      <c r="A21" s="116"/>
      <c r="B21" s="839" t="s">
        <v>197</v>
      </c>
      <c r="C21" s="839"/>
      <c r="D21" s="839"/>
      <c r="E21" s="116"/>
      <c r="F21" s="839" t="s">
        <v>198</v>
      </c>
      <c r="G21" s="839"/>
      <c r="H21" s="839" t="s">
        <v>188</v>
      </c>
    </row>
    <row r="22" spans="1:1024" ht="60" x14ac:dyDescent="0.25">
      <c r="A22" s="51" t="s">
        <v>212</v>
      </c>
      <c r="B22" s="128" t="s">
        <v>43</v>
      </c>
      <c r="C22" s="53" t="s">
        <v>200</v>
      </c>
      <c r="D22" s="53" t="s">
        <v>188</v>
      </c>
      <c r="E22" s="51" t="s">
        <v>212</v>
      </c>
      <c r="F22" s="128" t="s">
        <v>43</v>
      </c>
      <c r="G22" s="53" t="s">
        <v>200</v>
      </c>
      <c r="H22" s="53" t="s">
        <v>188</v>
      </c>
    </row>
    <row r="23" spans="1:1024" ht="60" x14ac:dyDescent="0.25">
      <c r="A23" s="20" t="s">
        <v>213</v>
      </c>
      <c r="B23" s="53" t="e">
        <f>#REF!</f>
        <v>#REF!</v>
      </c>
      <c r="C23" s="53" t="e">
        <f>#REF!</f>
        <v>#REF!</v>
      </c>
      <c r="D23" s="68" t="s">
        <v>214</v>
      </c>
      <c r="E23" s="20" t="s">
        <v>213</v>
      </c>
      <c r="F23" s="53">
        <v>60000</v>
      </c>
      <c r="G23" s="53">
        <v>60000</v>
      </c>
      <c r="H23" s="68" t="s">
        <v>215</v>
      </c>
    </row>
    <row r="24" spans="1:1024" ht="60" x14ac:dyDescent="0.25">
      <c r="A24" s="20" t="s">
        <v>216</v>
      </c>
      <c r="B24" s="53" t="e">
        <f>#REF!</f>
        <v>#REF!</v>
      </c>
      <c r="C24" s="53" t="e">
        <f>#REF!</f>
        <v>#REF!</v>
      </c>
      <c r="D24" s="53">
        <v>0</v>
      </c>
      <c r="E24" s="20" t="s">
        <v>216</v>
      </c>
      <c r="F24" s="53">
        <v>30000</v>
      </c>
      <c r="G24" s="53">
        <v>30000</v>
      </c>
      <c r="H24" s="53">
        <v>0</v>
      </c>
    </row>
    <row r="25" spans="1:1024" x14ac:dyDescent="0.25">
      <c r="A25" s="129" t="s">
        <v>57</v>
      </c>
      <c r="B25" s="130" t="e">
        <f>#REF!</f>
        <v>#REF!</v>
      </c>
      <c r="C25" s="130" t="e">
        <f>#REF!</f>
        <v>#REF!</v>
      </c>
      <c r="D25" s="130">
        <v>0</v>
      </c>
      <c r="E25" s="129" t="s">
        <v>57</v>
      </c>
      <c r="F25" s="130">
        <v>14000</v>
      </c>
      <c r="G25" s="130">
        <v>14000</v>
      </c>
      <c r="H25" s="130">
        <v>0</v>
      </c>
    </row>
    <row r="26" spans="1:1024" ht="75" x14ac:dyDescent="0.25">
      <c r="A26" s="18" t="s">
        <v>217</v>
      </c>
      <c r="B26" s="125" t="e">
        <f>SUM(B23:B25)</f>
        <v>#REF!</v>
      </c>
      <c r="C26" s="125" t="e">
        <f>SUM(C23:C25)</f>
        <v>#REF!</v>
      </c>
      <c r="D26" s="125">
        <f>SUM(D23:D25)</f>
        <v>0</v>
      </c>
      <c r="E26" s="18" t="s">
        <v>217</v>
      </c>
      <c r="F26" s="125">
        <f>SUM(F23:F25)</f>
        <v>104000</v>
      </c>
      <c r="G26" s="125">
        <f>SUM(G23:G25)</f>
        <v>104000</v>
      </c>
      <c r="H26" s="125">
        <f>SUM(H23:H25)</f>
        <v>0</v>
      </c>
    </row>
    <row r="27" spans="1:1024" x14ac:dyDescent="0.25">
      <c r="A27" s="25"/>
      <c r="B27" s="25"/>
      <c r="C27" s="5"/>
      <c r="D27" s="25"/>
      <c r="E27" s="1"/>
      <c r="F27" s="4"/>
      <c r="G27" s="25"/>
      <c r="H27" s="4"/>
    </row>
    <row r="28" spans="1:1024" ht="15" customHeight="1" x14ac:dyDescent="0.25">
      <c r="A28" s="116"/>
      <c r="B28" s="840" t="s">
        <v>218</v>
      </c>
      <c r="C28" s="840"/>
      <c r="D28" s="840"/>
      <c r="E28" s="116"/>
      <c r="F28" s="840" t="s">
        <v>219</v>
      </c>
      <c r="G28" s="840"/>
      <c r="H28" s="840"/>
    </row>
    <row r="29" spans="1:1024" ht="30" x14ac:dyDescent="0.25">
      <c r="A29" s="51" t="s">
        <v>58</v>
      </c>
      <c r="B29" s="117" t="s">
        <v>220</v>
      </c>
      <c r="C29" s="53" t="s">
        <v>221</v>
      </c>
      <c r="D29" s="117" t="s">
        <v>222</v>
      </c>
      <c r="E29" s="26" t="s">
        <v>58</v>
      </c>
      <c r="F29" s="117"/>
      <c r="G29" s="53" t="s">
        <v>221</v>
      </c>
      <c r="H29" s="117" t="s">
        <v>222</v>
      </c>
    </row>
    <row r="30" spans="1:1024" ht="60" x14ac:dyDescent="0.25">
      <c r="A30" s="1" t="s">
        <v>223</v>
      </c>
      <c r="B30" s="131">
        <f>MONOPOLES!D2</f>
        <v>185</v>
      </c>
      <c r="C30" s="53" t="e">
        <f>#REF!</f>
        <v>#REF!</v>
      </c>
      <c r="D30" s="53" t="e">
        <f>C30*1.2</f>
        <v>#REF!</v>
      </c>
      <c r="E30" s="20" t="s">
        <v>223</v>
      </c>
      <c r="F30" s="131">
        <v>185</v>
      </c>
      <c r="G30" s="53">
        <v>136.01</v>
      </c>
      <c r="H30" s="132">
        <f t="shared" ref="H30:H35" si="0">G30*1.2</f>
        <v>163.21199999999999</v>
      </c>
    </row>
    <row r="31" spans="1:1024" ht="45" x14ac:dyDescent="0.25">
      <c r="A31" s="20" t="s">
        <v>224</v>
      </c>
      <c r="B31" s="131">
        <f>MONOPOLES!F2</f>
        <v>10204.030000000001</v>
      </c>
      <c r="C31" s="53" t="e">
        <f>#REF!</f>
        <v>#REF!</v>
      </c>
      <c r="D31" s="53" t="e">
        <f>C31*1.2</f>
        <v>#REF!</v>
      </c>
      <c r="E31" s="133" t="s">
        <v>224</v>
      </c>
      <c r="F31" s="131">
        <v>10204.030000000001</v>
      </c>
      <c r="G31" s="53">
        <v>8498</v>
      </c>
      <c r="H31" s="132">
        <f t="shared" si="0"/>
        <v>10197.6</v>
      </c>
    </row>
    <row r="32" spans="1:1024" ht="30" x14ac:dyDescent="0.25">
      <c r="A32" s="20" t="s">
        <v>225</v>
      </c>
      <c r="B32" s="131">
        <f>MONOPOLES!H2</f>
        <v>1500</v>
      </c>
      <c r="C32" s="53" t="e">
        <f>#REF!</f>
        <v>#REF!</v>
      </c>
      <c r="D32" s="53" t="e">
        <f>C32*1.2</f>
        <v>#REF!</v>
      </c>
      <c r="E32" s="20" t="s">
        <v>225</v>
      </c>
      <c r="F32" s="131">
        <v>1500</v>
      </c>
      <c r="G32" s="53">
        <v>1137.01</v>
      </c>
      <c r="H32" s="132">
        <f t="shared" si="0"/>
        <v>1364.412</v>
      </c>
    </row>
    <row r="33" spans="1:8" ht="45" x14ac:dyDescent="0.25">
      <c r="A33" s="20" t="s">
        <v>226</v>
      </c>
      <c r="B33" s="128">
        <f>MONOPOLES!J2</f>
        <v>4000</v>
      </c>
      <c r="C33" s="53" t="e">
        <f>#REF!</f>
        <v>#REF!</v>
      </c>
      <c r="D33" s="53" t="e">
        <f>C33*1.2</f>
        <v>#REF!</v>
      </c>
      <c r="E33" s="20" t="s">
        <v>226</v>
      </c>
      <c r="F33" s="128">
        <v>4000</v>
      </c>
      <c r="G33" s="53">
        <v>485.03</v>
      </c>
      <c r="H33" s="132">
        <f t="shared" si="0"/>
        <v>582.03599999999994</v>
      </c>
    </row>
    <row r="34" spans="1:8" ht="60" x14ac:dyDescent="0.25">
      <c r="A34" s="129" t="s">
        <v>227</v>
      </c>
      <c r="B34" s="25"/>
      <c r="C34" s="130" t="e">
        <f>#REF!</f>
        <v>#REF!</v>
      </c>
      <c r="D34" s="130" t="e">
        <f>C34*1.2</f>
        <v>#REF!</v>
      </c>
      <c r="E34" s="129" t="s">
        <v>227</v>
      </c>
      <c r="F34" s="4"/>
      <c r="G34" s="130">
        <v>3500</v>
      </c>
      <c r="H34" s="134">
        <f t="shared" si="0"/>
        <v>4200</v>
      </c>
    </row>
    <row r="35" spans="1:8" ht="60" x14ac:dyDescent="0.25">
      <c r="A35" s="135" t="s">
        <v>228</v>
      </c>
      <c r="B35" s="136"/>
      <c r="C35" s="125" t="e">
        <f>SUM(C30:C34)</f>
        <v>#REF!</v>
      </c>
      <c r="D35" s="125" t="e">
        <f>SUM(D30:D34)</f>
        <v>#REF!</v>
      </c>
      <c r="E35" s="137" t="s">
        <v>228</v>
      </c>
      <c r="F35" s="138"/>
      <c r="G35" s="125">
        <v>13756.05</v>
      </c>
      <c r="H35" s="139">
        <f t="shared" si="0"/>
        <v>16507.259999999998</v>
      </c>
    </row>
    <row r="36" spans="1:8" ht="15" customHeight="1" x14ac:dyDescent="0.25">
      <c r="A36" s="25"/>
      <c r="B36" s="25"/>
      <c r="C36" s="25"/>
      <c r="D36" s="140" t="s">
        <v>229</v>
      </c>
      <c r="E36" s="1"/>
      <c r="F36" s="4"/>
      <c r="G36" s="7"/>
      <c r="H36" s="140"/>
    </row>
    <row r="37" spans="1:8" ht="15" customHeight="1" x14ac:dyDescent="0.25">
      <c r="A37" s="116"/>
      <c r="B37" s="839" t="s">
        <v>197</v>
      </c>
      <c r="C37" s="839"/>
      <c r="D37" s="839"/>
      <c r="E37" s="116"/>
      <c r="F37" s="839" t="s">
        <v>230</v>
      </c>
      <c r="G37" s="839"/>
      <c r="H37" s="839"/>
    </row>
    <row r="38" spans="1:8" ht="60" x14ac:dyDescent="0.25">
      <c r="A38" s="51" t="s">
        <v>231</v>
      </c>
      <c r="B38" s="128" t="s">
        <v>43</v>
      </c>
      <c r="C38" s="53" t="s">
        <v>200</v>
      </c>
      <c r="D38" s="53" t="s">
        <v>188</v>
      </c>
      <c r="E38" s="51" t="s">
        <v>231</v>
      </c>
      <c r="F38" s="128" t="s">
        <v>43</v>
      </c>
      <c r="G38" s="53" t="s">
        <v>200</v>
      </c>
      <c r="H38" s="53" t="s">
        <v>188</v>
      </c>
    </row>
    <row r="39" spans="1:8" ht="30" x14ac:dyDescent="0.25">
      <c r="A39" s="20" t="s">
        <v>232</v>
      </c>
      <c r="B39" s="53" t="e">
        <f>#REF!</f>
        <v>#REF!</v>
      </c>
      <c r="C39" s="53" t="e">
        <f>#REF!</f>
        <v>#REF!</v>
      </c>
      <c r="D39" s="68" t="e">
        <f>#REF!</f>
        <v>#REF!</v>
      </c>
      <c r="E39" s="20" t="s">
        <v>232</v>
      </c>
      <c r="F39" s="53">
        <v>22000</v>
      </c>
      <c r="G39" s="53">
        <v>22000</v>
      </c>
      <c r="H39" s="68" t="e">
        <f>#REF!</f>
        <v>#REF!</v>
      </c>
    </row>
    <row r="40" spans="1:8" ht="90" x14ac:dyDescent="0.25">
      <c r="A40" s="18" t="s">
        <v>233</v>
      </c>
      <c r="B40" s="125" t="e">
        <f>SUM(B39:B39)</f>
        <v>#REF!</v>
      </c>
      <c r="C40" s="125" t="e">
        <f>SUM(C39:C39)</f>
        <v>#REF!</v>
      </c>
      <c r="D40" s="125" t="e">
        <f>SUM(D39:D39)</f>
        <v>#REF!</v>
      </c>
      <c r="E40" s="18" t="s">
        <v>233</v>
      </c>
      <c r="F40" s="125">
        <f>SUM(F39:F39)</f>
        <v>22000</v>
      </c>
      <c r="G40" s="125">
        <f>SUM(G39:G39)</f>
        <v>22000</v>
      </c>
      <c r="H40" s="125" t="e">
        <f>SUM(H39:H39)</f>
        <v>#REF!</v>
      </c>
    </row>
  </sheetData>
  <mergeCells count="11">
    <mergeCell ref="A1:C1"/>
    <mergeCell ref="B2:F2"/>
    <mergeCell ref="B7:D7"/>
    <mergeCell ref="F7:H7"/>
    <mergeCell ref="I18:J18"/>
    <mergeCell ref="B21:D21"/>
    <mergeCell ref="F21:H21"/>
    <mergeCell ref="B28:D28"/>
    <mergeCell ref="F28:H28"/>
    <mergeCell ref="B37:D37"/>
    <mergeCell ref="F37:H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J92"/>
  <sheetViews>
    <sheetView zoomScaleNormal="100" workbookViewId="0">
      <selection activeCell="L26" sqref="L26"/>
    </sheetView>
  </sheetViews>
  <sheetFormatPr baseColWidth="10" defaultColWidth="9.140625" defaultRowHeight="15" x14ac:dyDescent="0.25"/>
  <cols>
    <col min="1" max="1" width="15.5703125" style="188" customWidth="1"/>
    <col min="2" max="2" width="9.5703125" style="308" bestFit="1" customWidth="1"/>
    <col min="3" max="3" width="22.5703125" style="308" customWidth="1"/>
    <col min="4" max="4" width="11.85546875" style="308" customWidth="1"/>
    <col min="5" max="6" width="17" style="308" customWidth="1"/>
    <col min="7" max="7" width="9.140625" style="188"/>
    <col min="8" max="8" width="16.42578125" style="188" customWidth="1"/>
    <col min="9" max="9" width="15" style="188" customWidth="1"/>
    <col min="10" max="10" width="13.140625" style="188" customWidth="1"/>
    <col min="11" max="11" width="13.42578125" style="188" customWidth="1"/>
    <col min="12" max="12" width="8.7109375" style="188" customWidth="1"/>
    <col min="13" max="16384" width="9.140625" style="188"/>
  </cols>
  <sheetData>
    <row r="1" spans="1:21" ht="15" customHeight="1" x14ac:dyDescent="0.25">
      <c r="A1" s="857" t="s">
        <v>234</v>
      </c>
      <c r="B1" s="858" t="s">
        <v>235</v>
      </c>
      <c r="C1" s="858"/>
      <c r="D1" s="858"/>
      <c r="E1" s="858"/>
      <c r="F1" s="858"/>
      <c r="G1" s="651"/>
      <c r="H1" s="651"/>
      <c r="I1" s="651"/>
      <c r="J1" s="651"/>
      <c r="K1" s="651"/>
      <c r="L1" s="863"/>
      <c r="M1" s="864"/>
      <c r="N1" s="864"/>
      <c r="O1" s="864"/>
      <c r="P1" s="864"/>
      <c r="Q1" s="864"/>
      <c r="R1" s="233"/>
      <c r="S1" s="233"/>
      <c r="T1" s="233"/>
      <c r="U1" s="233"/>
    </row>
    <row r="2" spans="1:21" ht="14.45" customHeight="1" x14ac:dyDescent="0.25">
      <c r="A2" s="857"/>
      <c r="B2" s="859">
        <v>2021</v>
      </c>
      <c r="C2" s="859"/>
      <c r="D2" s="859"/>
      <c r="E2" s="859"/>
      <c r="F2" s="859"/>
      <c r="G2" s="592"/>
      <c r="H2" s="785">
        <v>2020</v>
      </c>
      <c r="I2" s="592"/>
      <c r="J2" s="592"/>
      <c r="K2" s="592"/>
      <c r="L2" s="863"/>
      <c r="M2" s="864"/>
      <c r="N2" s="864"/>
      <c r="O2" s="864"/>
      <c r="P2" s="864"/>
      <c r="Q2" s="864"/>
      <c r="R2" s="233"/>
      <c r="S2" s="233"/>
      <c r="T2" s="233"/>
      <c r="U2" s="233"/>
    </row>
    <row r="3" spans="1:21" ht="72.599999999999994" customHeight="1" x14ac:dyDescent="0.25">
      <c r="A3" s="857"/>
      <c r="B3" s="234" t="s">
        <v>236</v>
      </c>
      <c r="C3" s="235" t="s">
        <v>189</v>
      </c>
      <c r="D3" s="236" t="s">
        <v>237</v>
      </c>
      <c r="E3" s="234" t="s">
        <v>238</v>
      </c>
      <c r="F3" s="779"/>
      <c r="G3" s="651"/>
      <c r="H3" s="234" t="s">
        <v>442</v>
      </c>
      <c r="I3" s="236" t="s">
        <v>237</v>
      </c>
      <c r="J3" s="236" t="s">
        <v>441</v>
      </c>
      <c r="K3" s="651"/>
      <c r="L3" s="863"/>
      <c r="M3" s="696"/>
      <c r="N3" s="239"/>
      <c r="O3" s="696"/>
      <c r="P3" s="696"/>
      <c r="Q3" s="240"/>
      <c r="R3" s="233"/>
      <c r="S3" s="233"/>
      <c r="T3" s="233"/>
      <c r="U3" s="233"/>
    </row>
    <row r="4" spans="1:21" ht="14.45" customHeight="1" x14ac:dyDescent="0.25">
      <c r="A4" s="241" t="s">
        <v>60</v>
      </c>
      <c r="B4" s="242">
        <v>7.4289549433351684E-2</v>
      </c>
      <c r="C4" s="243">
        <f t="shared" ref="C4:C25" si="0">D4+E4</f>
        <v>35589.868646485607</v>
      </c>
      <c r="D4" s="244">
        <f>B4*($D$26-$D$25)</f>
        <v>32063.679419141303</v>
      </c>
      <c r="E4" s="557">
        <f>E42</f>
        <v>3526.1892273443018</v>
      </c>
      <c r="F4" s="779"/>
      <c r="G4" s="592"/>
      <c r="H4" s="241" t="s">
        <v>60</v>
      </c>
      <c r="I4" s="787">
        <v>29640.82160833872</v>
      </c>
      <c r="J4" s="786">
        <f>I4/$J$26</f>
        <v>7.4289549433351684E-2</v>
      </c>
      <c r="K4" s="592"/>
      <c r="L4" s="233"/>
      <c r="M4" s="245"/>
      <c r="N4" s="246"/>
      <c r="O4" s="246"/>
      <c r="P4" s="246"/>
      <c r="Q4" s="240"/>
      <c r="R4" s="245"/>
      <c r="S4" s="245"/>
      <c r="T4" s="247"/>
      <c r="U4" s="233"/>
    </row>
    <row r="5" spans="1:21" x14ac:dyDescent="0.25">
      <c r="A5" s="241" t="s">
        <v>61</v>
      </c>
      <c r="B5" s="242">
        <v>8.4137848318532188E-2</v>
      </c>
      <c r="C5" s="243">
        <f t="shared" si="0"/>
        <v>36402.248144276222</v>
      </c>
      <c r="D5" s="244">
        <f t="shared" ref="D5:D22" si="1">B5*($D$26-$D$25)</f>
        <v>36314.246298155791</v>
      </c>
      <c r="E5" s="557">
        <f>F42</f>
        <v>88.001846120432219</v>
      </c>
      <c r="F5" s="779"/>
      <c r="G5" s="651"/>
      <c r="H5" s="241" t="s">
        <v>61</v>
      </c>
      <c r="I5" s="787">
        <v>33570.198924903583</v>
      </c>
      <c r="J5" s="786">
        <f t="shared" ref="J5:J22" si="2">I5/$J$26</f>
        <v>8.4137848318532188E-2</v>
      </c>
      <c r="K5" s="651"/>
      <c r="L5" s="233"/>
      <c r="M5" s="245"/>
      <c r="N5" s="246"/>
      <c r="O5" s="246"/>
      <c r="P5" s="246"/>
      <c r="Q5" s="240"/>
      <c r="R5" s="245"/>
      <c r="S5" s="245"/>
      <c r="T5" s="247"/>
      <c r="U5" s="233"/>
    </row>
    <row r="6" spans="1:21" x14ac:dyDescent="0.25">
      <c r="A6" s="241" t="s">
        <v>62</v>
      </c>
      <c r="B6" s="242">
        <v>2.9916937511318874E-2</v>
      </c>
      <c r="C6" s="243">
        <f t="shared" si="0"/>
        <v>13000.276868409977</v>
      </c>
      <c r="D6" s="244">
        <f t="shared" si="1"/>
        <v>12912.275022289545</v>
      </c>
      <c r="E6" s="557">
        <f>G42</f>
        <v>88.001846120432219</v>
      </c>
      <c r="F6" s="779"/>
      <c r="G6" s="592"/>
      <c r="H6" s="241" t="s">
        <v>62</v>
      </c>
      <c r="I6" s="787">
        <v>11936.572702414518</v>
      </c>
      <c r="J6" s="786">
        <f t="shared" si="2"/>
        <v>2.9916937511318874E-2</v>
      </c>
      <c r="K6" s="592"/>
      <c r="L6" s="233"/>
      <c r="M6" s="245"/>
      <c r="N6" s="246"/>
      <c r="O6" s="246"/>
      <c r="P6" s="246"/>
      <c r="Q6" s="240"/>
      <c r="R6" s="245"/>
      <c r="S6" s="245"/>
      <c r="T6" s="247"/>
      <c r="U6" s="233"/>
    </row>
    <row r="7" spans="1:21" x14ac:dyDescent="0.25">
      <c r="A7" s="241" t="s">
        <v>63</v>
      </c>
      <c r="B7" s="242">
        <v>0.22376100716427483</v>
      </c>
      <c r="C7" s="243">
        <f t="shared" si="0"/>
        <v>101031.6131256217</v>
      </c>
      <c r="D7" s="244">
        <f t="shared" si="1"/>
        <v>96576.1840655142</v>
      </c>
      <c r="E7" s="557">
        <f>H42</f>
        <v>4455.4290601075099</v>
      </c>
      <c r="F7" s="779"/>
      <c r="G7" s="675"/>
      <c r="H7" s="241" t="s">
        <v>63</v>
      </c>
      <c r="I7" s="787">
        <v>89278.507500018342</v>
      </c>
      <c r="J7" s="786">
        <f t="shared" si="2"/>
        <v>0.22376100716427483</v>
      </c>
      <c r="K7" s="651"/>
      <c r="L7" s="233"/>
      <c r="M7" s="245"/>
      <c r="N7" s="246"/>
      <c r="O7" s="246"/>
      <c r="P7" s="246"/>
      <c r="Q7" s="248"/>
      <c r="R7" s="245"/>
      <c r="S7" s="245"/>
      <c r="T7" s="247"/>
      <c r="U7" s="233"/>
    </row>
    <row r="8" spans="1:21" x14ac:dyDescent="0.25">
      <c r="A8" s="241" t="s">
        <v>64</v>
      </c>
      <c r="B8" s="242">
        <v>7.4289549433351684E-2</v>
      </c>
      <c r="C8" s="243">
        <f t="shared" si="0"/>
        <v>32151.681265261734</v>
      </c>
      <c r="D8" s="244">
        <f t="shared" si="1"/>
        <v>32063.679419141303</v>
      </c>
      <c r="E8" s="557">
        <f>I42</f>
        <v>88.001846120432219</v>
      </c>
      <c r="F8" s="779"/>
      <c r="G8" s="592"/>
      <c r="H8" s="241" t="s">
        <v>64</v>
      </c>
      <c r="I8" s="787">
        <v>29640.82160833872</v>
      </c>
      <c r="J8" s="786">
        <f t="shared" si="2"/>
        <v>7.4289549433351684E-2</v>
      </c>
      <c r="K8" s="592"/>
      <c r="L8" s="233"/>
      <c r="M8" s="245"/>
      <c r="N8" s="246"/>
      <c r="O8" s="246"/>
      <c r="P8" s="246"/>
      <c r="Q8" s="240"/>
      <c r="R8" s="245"/>
      <c r="S8" s="245"/>
      <c r="T8" s="247"/>
      <c r="U8" s="233"/>
    </row>
    <row r="9" spans="1:21" x14ac:dyDescent="0.25">
      <c r="A9" s="241" t="s">
        <v>65</v>
      </c>
      <c r="B9" s="249">
        <v>3.9646279398440785E-3</v>
      </c>
      <c r="C9" s="243">
        <f t="shared" si="0"/>
        <v>1799.1518025941409</v>
      </c>
      <c r="D9" s="244">
        <f t="shared" si="1"/>
        <v>1711.1499564737087</v>
      </c>
      <c r="E9" s="557">
        <f>J42</f>
        <v>88.001846120432219</v>
      </c>
      <c r="F9" s="779"/>
      <c r="G9" s="651"/>
      <c r="H9" s="241" t="s">
        <v>65</v>
      </c>
      <c r="I9" s="787">
        <v>1581.8487311432859</v>
      </c>
      <c r="J9" s="786">
        <f t="shared" si="2"/>
        <v>3.9646279398440785E-3</v>
      </c>
      <c r="K9" s="651"/>
      <c r="L9" s="233"/>
      <c r="M9" s="250"/>
      <c r="N9" s="246"/>
      <c r="O9" s="246"/>
      <c r="P9" s="246"/>
      <c r="Q9" s="240"/>
      <c r="R9" s="250"/>
      <c r="S9" s="250"/>
      <c r="T9" s="247"/>
      <c r="U9" s="233"/>
    </row>
    <row r="10" spans="1:21" x14ac:dyDescent="0.25">
      <c r="A10" s="241" t="s">
        <v>66</v>
      </c>
      <c r="B10" s="242">
        <v>0</v>
      </c>
      <c r="C10" s="243">
        <f t="shared" si="0"/>
        <v>0</v>
      </c>
      <c r="D10" s="244">
        <f t="shared" si="1"/>
        <v>0</v>
      </c>
      <c r="E10" s="557"/>
      <c r="F10" s="779"/>
      <c r="G10" s="592"/>
      <c r="H10" s="241" t="s">
        <v>66</v>
      </c>
      <c r="I10" s="787">
        <v>0</v>
      </c>
      <c r="J10" s="786">
        <f t="shared" si="2"/>
        <v>0</v>
      </c>
      <c r="K10" s="592"/>
      <c r="L10" s="233"/>
      <c r="M10" s="245"/>
      <c r="N10" s="246"/>
      <c r="O10" s="246"/>
      <c r="P10" s="246"/>
      <c r="Q10" s="240"/>
      <c r="R10" s="245"/>
      <c r="S10" s="245"/>
      <c r="T10" s="247"/>
      <c r="U10" s="233"/>
    </row>
    <row r="11" spans="1:21" x14ac:dyDescent="0.25">
      <c r="A11" s="241" t="s">
        <v>67</v>
      </c>
      <c r="B11" s="242">
        <v>0</v>
      </c>
      <c r="C11" s="243">
        <f t="shared" si="0"/>
        <v>0</v>
      </c>
      <c r="D11" s="244">
        <f t="shared" si="1"/>
        <v>0</v>
      </c>
      <c r="E11" s="557"/>
      <c r="F11" s="779"/>
      <c r="G11" s="651"/>
      <c r="H11" s="241" t="s">
        <v>67</v>
      </c>
      <c r="I11" s="787">
        <v>0</v>
      </c>
      <c r="J11" s="786">
        <f t="shared" si="2"/>
        <v>0</v>
      </c>
      <c r="K11" s="651"/>
      <c r="L11" s="233"/>
      <c r="M11" s="245"/>
      <c r="N11" s="246"/>
      <c r="O11" s="246"/>
      <c r="P11" s="246"/>
      <c r="Q11" s="240"/>
      <c r="R11" s="245"/>
      <c r="S11" s="251"/>
      <c r="T11" s="247"/>
      <c r="U11" s="233"/>
    </row>
    <row r="12" spans="1:21" x14ac:dyDescent="0.25">
      <c r="A12" s="241" t="s">
        <v>68</v>
      </c>
      <c r="B12" s="242">
        <v>0</v>
      </c>
      <c r="C12" s="243">
        <f t="shared" si="0"/>
        <v>0</v>
      </c>
      <c r="D12" s="244">
        <f t="shared" si="1"/>
        <v>0</v>
      </c>
      <c r="E12" s="557"/>
      <c r="F12" s="779"/>
      <c r="G12" s="592"/>
      <c r="H12" s="241" t="s">
        <v>68</v>
      </c>
      <c r="I12" s="787">
        <v>0</v>
      </c>
      <c r="J12" s="786">
        <f t="shared" si="2"/>
        <v>0</v>
      </c>
      <c r="K12" s="592"/>
      <c r="L12" s="233"/>
      <c r="M12" s="245"/>
      <c r="N12" s="246"/>
      <c r="O12" s="246"/>
      <c r="P12" s="246"/>
      <c r="Q12" s="240"/>
      <c r="R12" s="245"/>
      <c r="S12" s="245"/>
      <c r="T12" s="247"/>
      <c r="U12" s="233"/>
    </row>
    <row r="13" spans="1:21" x14ac:dyDescent="0.25">
      <c r="A13" s="241" t="s">
        <v>69</v>
      </c>
      <c r="B13" s="242">
        <v>7.5438023379447119E-2</v>
      </c>
      <c r="C13" s="243">
        <f t="shared" si="0"/>
        <v>32647.367411021398</v>
      </c>
      <c r="D13" s="244">
        <f t="shared" si="1"/>
        <v>32559.365564900967</v>
      </c>
      <c r="E13" s="557">
        <f>K42</f>
        <v>88.001846120432219</v>
      </c>
      <c r="F13" s="779"/>
      <c r="G13" s="651"/>
      <c r="H13" s="241" t="s">
        <v>69</v>
      </c>
      <c r="I13" s="787">
        <v>30099.051758039383</v>
      </c>
      <c r="J13" s="786">
        <f t="shared" si="2"/>
        <v>7.5438023379447119E-2</v>
      </c>
      <c r="K13" s="651"/>
      <c r="L13" s="233"/>
      <c r="M13" s="245"/>
      <c r="N13" s="246"/>
      <c r="O13" s="246"/>
      <c r="P13" s="246"/>
      <c r="Q13" s="240"/>
      <c r="R13" s="245"/>
      <c r="S13" s="245"/>
      <c r="T13" s="247"/>
      <c r="U13" s="233"/>
    </row>
    <row r="14" spans="1:21" x14ac:dyDescent="0.25">
      <c r="A14" s="241" t="s">
        <v>70</v>
      </c>
      <c r="B14" s="242">
        <v>0.11073068166192662</v>
      </c>
      <c r="C14" s="243">
        <f t="shared" si="0"/>
        <v>47879.825941866882</v>
      </c>
      <c r="D14" s="244">
        <f t="shared" si="1"/>
        <v>47791.824095746451</v>
      </c>
      <c r="E14" s="557">
        <f>L42</f>
        <v>88.001846120432219</v>
      </c>
      <c r="F14" s="779"/>
      <c r="G14" s="592"/>
      <c r="H14" s="241" t="s">
        <v>70</v>
      </c>
      <c r="I14" s="787">
        <v>44180.485771494219</v>
      </c>
      <c r="J14" s="786">
        <f t="shared" si="2"/>
        <v>0.11073068166192662</v>
      </c>
      <c r="K14" s="592"/>
      <c r="L14" s="233"/>
      <c r="M14" s="245"/>
      <c r="N14" s="246"/>
      <c r="O14" s="246"/>
      <c r="P14" s="246"/>
      <c r="Q14" s="240"/>
      <c r="R14" s="245"/>
      <c r="S14" s="245"/>
      <c r="T14" s="247"/>
      <c r="U14" s="233"/>
    </row>
    <row r="15" spans="1:21" x14ac:dyDescent="0.25">
      <c r="A15" s="241" t="s">
        <v>71</v>
      </c>
      <c r="B15" s="242">
        <v>0</v>
      </c>
      <c r="C15" s="243">
        <f t="shared" si="0"/>
        <v>0</v>
      </c>
      <c r="D15" s="244">
        <f t="shared" si="1"/>
        <v>0</v>
      </c>
      <c r="E15" s="557"/>
      <c r="F15" s="779"/>
      <c r="G15" s="651"/>
      <c r="H15" s="241" t="s">
        <v>71</v>
      </c>
      <c r="I15" s="787">
        <v>0</v>
      </c>
      <c r="J15" s="786">
        <f t="shared" si="2"/>
        <v>0</v>
      </c>
      <c r="K15" s="651"/>
      <c r="L15" s="233"/>
      <c r="M15" s="245"/>
      <c r="N15" s="246"/>
      <c r="O15" s="246"/>
      <c r="P15" s="246"/>
      <c r="Q15" s="240"/>
      <c r="R15" s="245"/>
      <c r="S15" s="245"/>
      <c r="T15" s="247"/>
      <c r="U15" s="233"/>
    </row>
    <row r="16" spans="1:21" x14ac:dyDescent="0.25">
      <c r="A16" s="241" t="s">
        <v>72</v>
      </c>
      <c r="B16" s="242">
        <v>4.9575792006456107E-2</v>
      </c>
      <c r="C16" s="243">
        <f t="shared" si="0"/>
        <v>21485.120471414</v>
      </c>
      <c r="D16" s="244">
        <f t="shared" si="1"/>
        <v>21397.118625293569</v>
      </c>
      <c r="E16" s="557">
        <f>M42</f>
        <v>88.001846120432219</v>
      </c>
      <c r="F16" s="779"/>
      <c r="G16" s="592"/>
      <c r="H16" s="241" t="s">
        <v>72</v>
      </c>
      <c r="I16" s="787">
        <v>19780.268128746582</v>
      </c>
      <c r="J16" s="786">
        <f t="shared" si="2"/>
        <v>4.9575792006456107E-2</v>
      </c>
      <c r="K16" s="592"/>
      <c r="L16" s="233"/>
      <c r="M16" s="245"/>
      <c r="N16" s="246"/>
      <c r="O16" s="246"/>
      <c r="P16" s="246"/>
      <c r="Q16" s="240"/>
      <c r="R16" s="245"/>
      <c r="S16" s="245"/>
      <c r="T16" s="247"/>
      <c r="U16" s="233"/>
    </row>
    <row r="17" spans="1:1024" x14ac:dyDescent="0.25">
      <c r="A17" s="241" t="s">
        <v>73</v>
      </c>
      <c r="B17" s="242">
        <v>0.10966039021450953</v>
      </c>
      <c r="C17" s="243">
        <f t="shared" si="0"/>
        <v>47417.883688659138</v>
      </c>
      <c r="D17" s="244">
        <f t="shared" si="1"/>
        <v>47329.881842538707</v>
      </c>
      <c r="E17" s="557">
        <f>N42</f>
        <v>88.001846120432219</v>
      </c>
      <c r="F17" s="779"/>
      <c r="G17" s="651"/>
      <c r="H17" s="241" t="s">
        <v>73</v>
      </c>
      <c r="I17" s="787">
        <v>43753.449693017501</v>
      </c>
      <c r="J17" s="786">
        <f t="shared" si="2"/>
        <v>0.10966039021450953</v>
      </c>
      <c r="K17" s="651"/>
      <c r="L17" s="233"/>
      <c r="M17" s="245"/>
      <c r="N17" s="246"/>
      <c r="O17" s="246"/>
      <c r="P17" s="246"/>
      <c r="Q17" s="240"/>
      <c r="R17" s="245"/>
      <c r="S17" s="245"/>
      <c r="T17" s="247"/>
      <c r="U17" s="233"/>
    </row>
    <row r="18" spans="1:1024" x14ac:dyDescent="0.25">
      <c r="A18" s="241" t="s">
        <v>74</v>
      </c>
      <c r="B18" s="242">
        <v>5.2862152899156675E-2</v>
      </c>
      <c r="C18" s="243">
        <f t="shared" si="0"/>
        <v>23832.7673738511</v>
      </c>
      <c r="D18" s="244">
        <f t="shared" si="1"/>
        <v>22815.525694967459</v>
      </c>
      <c r="E18" s="557">
        <f>O42</f>
        <v>1017.2416788836401</v>
      </c>
      <c r="F18" s="779"/>
      <c r="G18" s="592"/>
      <c r="H18" s="241" t="s">
        <v>74</v>
      </c>
      <c r="I18" s="787">
        <v>21091.494777772761</v>
      </c>
      <c r="J18" s="786">
        <f t="shared" si="2"/>
        <v>5.2862152899156675E-2</v>
      </c>
      <c r="K18" s="592"/>
      <c r="L18" s="233"/>
      <c r="M18" s="245"/>
      <c r="N18" s="246"/>
      <c r="O18" s="246"/>
      <c r="P18" s="246"/>
      <c r="Q18" s="240"/>
      <c r="R18" s="245"/>
      <c r="S18" s="245"/>
      <c r="T18" s="247"/>
      <c r="U18" s="233"/>
    </row>
    <row r="19" spans="1:1024" x14ac:dyDescent="0.25">
      <c r="A19" s="241" t="s">
        <v>75</v>
      </c>
      <c r="B19" s="242">
        <v>5.0265954753405527E-2</v>
      </c>
      <c r="C19" s="243">
        <f t="shared" si="0"/>
        <v>21782.997591870535</v>
      </c>
      <c r="D19" s="244">
        <f t="shared" si="1"/>
        <v>21694.995745750104</v>
      </c>
      <c r="E19" s="557">
        <f>P42</f>
        <v>88.001846120432219</v>
      </c>
      <c r="F19" s="779"/>
      <c r="G19" s="651"/>
      <c r="H19" s="241" t="s">
        <v>75</v>
      </c>
      <c r="I19" s="787">
        <v>20055.636481618363</v>
      </c>
      <c r="J19" s="786">
        <f t="shared" si="2"/>
        <v>5.0265954753405527E-2</v>
      </c>
      <c r="K19" s="651"/>
      <c r="L19" s="233"/>
      <c r="M19" s="245"/>
      <c r="N19" s="246"/>
      <c r="O19" s="246"/>
      <c r="P19" s="246"/>
      <c r="Q19" s="240"/>
      <c r="R19" s="245"/>
      <c r="S19" s="245"/>
      <c r="T19" s="247"/>
      <c r="U19" s="233"/>
    </row>
    <row r="20" spans="1:1024" x14ac:dyDescent="0.25">
      <c r="A20" s="241" t="s">
        <v>76</v>
      </c>
      <c r="B20" s="242">
        <v>1.8107675686787866E-2</v>
      </c>
      <c r="C20" s="243">
        <f>D20+E20</f>
        <v>7903.3502050147781</v>
      </c>
      <c r="D20" s="244">
        <f t="shared" si="1"/>
        <v>7815.3483588943463</v>
      </c>
      <c r="E20" s="557">
        <f>Q42</f>
        <v>88.001846120432219</v>
      </c>
      <c r="F20" s="779"/>
      <c r="G20" s="592"/>
      <c r="H20" s="241" t="s">
        <v>76</v>
      </c>
      <c r="I20" s="787">
        <v>7224.789877817896</v>
      </c>
      <c r="J20" s="786">
        <f t="shared" si="2"/>
        <v>1.8107675686787866E-2</v>
      </c>
      <c r="K20" s="592"/>
      <c r="L20" s="233"/>
      <c r="M20" s="245"/>
      <c r="N20" s="246"/>
      <c r="O20" s="246"/>
      <c r="P20" s="246"/>
      <c r="Q20" s="240"/>
      <c r="R20" s="245"/>
      <c r="S20" s="245"/>
      <c r="T20" s="247"/>
      <c r="U20" s="233"/>
    </row>
    <row r="21" spans="1:1024" x14ac:dyDescent="0.25">
      <c r="A21" s="241" t="s">
        <v>77</v>
      </c>
      <c r="B21" s="242">
        <v>0</v>
      </c>
      <c r="C21" s="243">
        <f t="shared" si="0"/>
        <v>0</v>
      </c>
      <c r="D21" s="244">
        <f t="shared" si="1"/>
        <v>0</v>
      </c>
      <c r="E21" s="557"/>
      <c r="F21" s="779"/>
      <c r="G21" s="651"/>
      <c r="H21" s="241" t="s">
        <v>77</v>
      </c>
      <c r="I21" s="787"/>
      <c r="J21" s="786">
        <f t="shared" si="2"/>
        <v>0</v>
      </c>
      <c r="K21" s="651"/>
      <c r="L21" s="252"/>
      <c r="M21" s="251"/>
      <c r="N21" s="253"/>
      <c r="O21" s="253"/>
      <c r="P21" s="253"/>
      <c r="Q21" s="240"/>
      <c r="R21" s="254"/>
      <c r="S21" s="254"/>
      <c r="T21" s="247"/>
      <c r="U21" s="233"/>
    </row>
    <row r="22" spans="1:1024" x14ac:dyDescent="0.25">
      <c r="A22" s="255" t="s">
        <v>78</v>
      </c>
      <c r="B22" s="256">
        <v>4.2999809597636877E-2</v>
      </c>
      <c r="C22" s="243">
        <f t="shared" si="0"/>
        <v>43936.839740353476</v>
      </c>
      <c r="D22" s="244">
        <f t="shared" si="1"/>
        <v>18558.897187277511</v>
      </c>
      <c r="E22" s="557">
        <f>R42</f>
        <v>25377.942553075962</v>
      </c>
      <c r="F22" s="779"/>
      <c r="G22" s="592"/>
      <c r="H22" s="255" t="s">
        <v>78</v>
      </c>
      <c r="I22" s="787">
        <v>17156.51387305207</v>
      </c>
      <c r="J22" s="786">
        <f t="shared" si="2"/>
        <v>4.2999809597636877E-2</v>
      </c>
      <c r="K22" s="592"/>
      <c r="L22" s="252"/>
      <c r="M22" s="251"/>
      <c r="N22" s="253"/>
      <c r="O22" s="253"/>
      <c r="P22" s="253"/>
      <c r="Q22" s="240"/>
      <c r="R22" s="233"/>
      <c r="S22" s="233"/>
      <c r="T22" s="233"/>
      <c r="U22" s="233"/>
    </row>
    <row r="23" spans="1:1024" ht="14.45" customHeight="1" x14ac:dyDescent="0.25">
      <c r="A23" s="255" t="s">
        <v>79</v>
      </c>
      <c r="B23" s="256">
        <v>0</v>
      </c>
      <c r="C23" s="257">
        <f t="shared" si="0"/>
        <v>0</v>
      </c>
      <c r="D23" s="258"/>
      <c r="E23" s="557"/>
      <c r="F23" s="779"/>
      <c r="G23" s="651"/>
      <c r="H23" s="255" t="s">
        <v>79</v>
      </c>
      <c r="I23" s="788"/>
      <c r="J23" s="258"/>
      <c r="K23" s="651"/>
      <c r="L23" s="252"/>
      <c r="M23" s="251"/>
      <c r="N23" s="253"/>
      <c r="O23" s="253"/>
      <c r="P23" s="253"/>
      <c r="Q23" s="240"/>
      <c r="R23" s="233"/>
      <c r="S23" s="233"/>
      <c r="T23" s="233"/>
      <c r="U23" s="233"/>
    </row>
    <row r="24" spans="1:1024" ht="14.45" customHeight="1" x14ac:dyDescent="0.25">
      <c r="A24" s="255" t="s">
        <v>80</v>
      </c>
      <c r="B24" s="256">
        <v>0</v>
      </c>
      <c r="C24" s="257">
        <f t="shared" si="0"/>
        <v>0</v>
      </c>
      <c r="D24" s="258"/>
      <c r="E24" s="557"/>
      <c r="F24" s="779"/>
      <c r="G24" s="592"/>
      <c r="H24" s="255" t="s">
        <v>80</v>
      </c>
      <c r="I24" s="788"/>
      <c r="J24" s="258"/>
      <c r="K24" s="592"/>
      <c r="L24" s="252"/>
      <c r="M24" s="251"/>
      <c r="N24" s="253"/>
      <c r="O24" s="253"/>
      <c r="P24" s="253"/>
      <c r="Q24" s="240"/>
      <c r="R24" s="233"/>
      <c r="S24" s="233"/>
      <c r="T24" s="233"/>
      <c r="U24" s="233"/>
    </row>
    <row r="25" spans="1:1024" s="293" customFormat="1" ht="14.45" customHeight="1" x14ac:dyDescent="0.25">
      <c r="A25" s="620" t="s">
        <v>188</v>
      </c>
      <c r="B25" s="621">
        <v>0.24</v>
      </c>
      <c r="C25" s="622">
        <f t="shared" si="0"/>
        <v>136296.05409350057</v>
      </c>
      <c r="D25" s="623">
        <f>B25*D26</f>
        <v>136296.05409350057</v>
      </c>
      <c r="E25" s="623"/>
      <c r="F25" s="779"/>
      <c r="G25" s="651"/>
      <c r="H25" s="620" t="s">
        <v>188</v>
      </c>
      <c r="I25" s="789">
        <v>125996.98782212085</v>
      </c>
      <c r="J25" s="623"/>
      <c r="K25" s="651"/>
      <c r="L25" s="253"/>
      <c r="M25" s="624"/>
      <c r="N25" s="252"/>
      <c r="O25" s="252"/>
      <c r="P25" s="252"/>
      <c r="Q25" s="252"/>
    </row>
    <row r="26" spans="1:1024" ht="30" customHeight="1" x14ac:dyDescent="0.25">
      <c r="A26" s="491" t="s">
        <v>239</v>
      </c>
      <c r="B26" s="540"/>
      <c r="C26" s="538">
        <f>D26+E26</f>
        <v>603157.04637020151</v>
      </c>
      <c r="D26" s="605">
        <f>D31</f>
        <v>567900.22538958571</v>
      </c>
      <c r="E26" s="606">
        <f>SUM(E4:E25)</f>
        <v>35256.820980615739</v>
      </c>
      <c r="F26" s="779"/>
      <c r="H26" s="491" t="s">
        <v>239</v>
      </c>
      <c r="I26" s="790">
        <v>524987.44925883692</v>
      </c>
      <c r="J26" s="605">
        <f>I26-I25</f>
        <v>398990.46143671608</v>
      </c>
      <c r="K26" s="328"/>
      <c r="L26" s="233"/>
      <c r="M26" s="245"/>
      <c r="N26" s="246"/>
      <c r="O26" s="246"/>
      <c r="P26" s="246"/>
      <c r="Q26" s="240"/>
      <c r="R26" s="233"/>
      <c r="S26" s="233"/>
      <c r="T26" s="233"/>
      <c r="U26" s="233"/>
    </row>
    <row r="27" spans="1:1024" s="264" customFormat="1" ht="14.45" customHeight="1" x14ac:dyDescent="0.25">
      <c r="A27" s="511" t="s">
        <v>240</v>
      </c>
      <c r="B27" s="541"/>
      <c r="C27" s="542">
        <f>SUM(C4:C25)</f>
        <v>603157.04637020116</v>
      </c>
      <c r="D27" s="543">
        <f>SUM(D4:D25)</f>
        <v>567900.22538958548</v>
      </c>
      <c r="E27" s="543">
        <f>SUM(E4:E25)</f>
        <v>35256.820980615739</v>
      </c>
      <c r="H27" s="640"/>
      <c r="I27" s="592"/>
      <c r="L27" s="266"/>
      <c r="M27" s="267"/>
      <c r="N27" s="246"/>
      <c r="O27" s="268"/>
      <c r="P27" s="268"/>
      <c r="Q27" s="265"/>
      <c r="R27" s="265"/>
      <c r="S27" s="265"/>
      <c r="T27" s="265"/>
      <c r="U27" s="265"/>
      <c r="AMH27" s="188"/>
      <c r="AMI27" s="188"/>
      <c r="AMJ27" s="188"/>
    </row>
    <row r="28" spans="1:1024" x14ac:dyDescent="0.25">
      <c r="A28" s="266"/>
      <c r="B28" s="267"/>
      <c r="C28" s="267"/>
      <c r="D28" s="269"/>
      <c r="E28" s="269"/>
      <c r="F28" s="188"/>
      <c r="J28" s="233"/>
      <c r="K28" s="233"/>
      <c r="L28" s="270"/>
      <c r="M28" s="261"/>
      <c r="N28" s="262"/>
      <c r="O28" s="263"/>
      <c r="P28" s="263"/>
      <c r="Q28" s="233"/>
      <c r="R28" s="233"/>
      <c r="S28" s="233"/>
      <c r="T28" s="233"/>
      <c r="U28" s="233"/>
    </row>
    <row r="29" spans="1:1024" ht="30" x14ac:dyDescent="0.25">
      <c r="A29" s="271"/>
      <c r="B29" s="272" t="s">
        <v>241</v>
      </c>
      <c r="C29" s="273">
        <f>SUBTOTAL(3,D4:D24)</f>
        <v>19</v>
      </c>
      <c r="D29" s="188"/>
      <c r="E29" s="273"/>
      <c r="F29" s="269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</row>
    <row r="30" spans="1:1024" s="293" customFormat="1" x14ac:dyDescent="0.25">
      <c r="A30" s="617"/>
      <c r="B30" s="860" t="s">
        <v>242</v>
      </c>
      <c r="C30" s="860"/>
      <c r="D30" s="860"/>
      <c r="E30" s="481"/>
      <c r="F30" s="592"/>
    </row>
    <row r="31" spans="1:1024" s="293" customFormat="1" ht="14.85" customHeight="1" x14ac:dyDescent="0.25">
      <c r="A31" s="617"/>
      <c r="B31" s="855" t="s">
        <v>243</v>
      </c>
      <c r="C31" s="855"/>
      <c r="D31" s="586">
        <f>D33*D35</f>
        <v>567900.22538958571</v>
      </c>
      <c r="E31" s="481"/>
      <c r="F31" s="618" t="s">
        <v>244</v>
      </c>
    </row>
    <row r="32" spans="1:1024" s="293" customFormat="1" ht="14.85" customHeight="1" x14ac:dyDescent="0.25">
      <c r="A32" s="617"/>
      <c r="B32" s="855" t="s">
        <v>245</v>
      </c>
      <c r="C32" s="855"/>
      <c r="D32" s="586">
        <f>D34*D35</f>
        <v>681480.27046750276</v>
      </c>
      <c r="E32" s="481"/>
    </row>
    <row r="33" spans="1:102" s="293" customFormat="1" ht="14.85" customHeight="1" x14ac:dyDescent="0.25">
      <c r="A33" s="617"/>
      <c r="B33" s="855" t="s">
        <v>246</v>
      </c>
      <c r="C33" s="855"/>
      <c r="D33" s="586">
        <v>543919</v>
      </c>
      <c r="E33" s="481"/>
      <c r="F33" s="618"/>
    </row>
    <row r="34" spans="1:102" s="293" customFormat="1" ht="14.85" customHeight="1" x14ac:dyDescent="0.25">
      <c r="A34" s="617"/>
      <c r="B34" s="855" t="s">
        <v>247</v>
      </c>
      <c r="C34" s="855"/>
      <c r="D34" s="586">
        <f>D33*1.2</f>
        <v>652702.79999999993</v>
      </c>
      <c r="E34" s="619"/>
    </row>
    <row r="35" spans="1:102" s="293" customFormat="1" ht="14.85" customHeight="1" x14ac:dyDescent="0.25">
      <c r="B35" s="855" t="s">
        <v>248</v>
      </c>
      <c r="C35" s="855"/>
      <c r="D35" s="594">
        <f>2747/2631</f>
        <v>1.0440896997339415</v>
      </c>
    </row>
    <row r="36" spans="1:102" ht="14.85" customHeight="1" x14ac:dyDescent="0.25">
      <c r="B36" s="188"/>
      <c r="C36" s="188"/>
      <c r="D36" s="188"/>
      <c r="E36" s="188"/>
      <c r="F36" s="188"/>
    </row>
    <row r="37" spans="1:102" x14ac:dyDescent="0.25">
      <c r="B37" s="856" t="s">
        <v>249</v>
      </c>
      <c r="C37" s="856"/>
      <c r="D37" s="856"/>
      <c r="E37" s="276"/>
      <c r="F37" s="188"/>
    </row>
    <row r="38" spans="1:102" x14ac:dyDescent="0.25">
      <c r="B38" s="850" t="s">
        <v>250</v>
      </c>
      <c r="C38" s="850"/>
      <c r="D38" s="260">
        <f>D43</f>
        <v>34024.795134929685</v>
      </c>
      <c r="E38" s="276"/>
      <c r="F38" s="276"/>
    </row>
    <row r="39" spans="1:102" x14ac:dyDescent="0.25">
      <c r="B39" s="188"/>
      <c r="C39" s="188"/>
      <c r="D39" s="276"/>
      <c r="E39" s="276"/>
      <c r="F39" s="276"/>
    </row>
    <row r="40" spans="1:102" x14ac:dyDescent="0.25">
      <c r="A40" s="277" t="s">
        <v>251</v>
      </c>
      <c r="B40" s="278"/>
      <c r="C40" s="278"/>
      <c r="D40" s="278"/>
      <c r="E40" s="278"/>
      <c r="F40" s="279"/>
      <c r="G40" s="280"/>
      <c r="H40" s="280"/>
      <c r="I40" s="280"/>
      <c r="J40" s="280"/>
      <c r="K40" s="280"/>
      <c r="L40" s="280"/>
      <c r="M40" s="281"/>
      <c r="N40" s="280"/>
      <c r="O40" s="280"/>
      <c r="P40" s="280"/>
      <c r="Q40" s="280"/>
      <c r="R40" s="280"/>
    </row>
    <row r="41" spans="1:102" s="286" customFormat="1" x14ac:dyDescent="0.2">
      <c r="A41" s="851">
        <v>2021</v>
      </c>
      <c r="B41" s="851"/>
      <c r="C41" s="851"/>
      <c r="D41" s="282" t="s">
        <v>43</v>
      </c>
      <c r="E41" s="283" t="s">
        <v>60</v>
      </c>
      <c r="F41" s="283" t="s">
        <v>252</v>
      </c>
      <c r="G41" s="283" t="s">
        <v>62</v>
      </c>
      <c r="H41" s="283" t="s">
        <v>63</v>
      </c>
      <c r="I41" s="283" t="s">
        <v>64</v>
      </c>
      <c r="J41" s="283" t="s">
        <v>65</v>
      </c>
      <c r="K41" s="283" t="s">
        <v>69</v>
      </c>
      <c r="L41" s="283" t="s">
        <v>253</v>
      </c>
      <c r="M41" s="284" t="s">
        <v>72</v>
      </c>
      <c r="N41" s="283" t="s">
        <v>254</v>
      </c>
      <c r="O41" s="283" t="s">
        <v>74</v>
      </c>
      <c r="P41" s="283" t="s">
        <v>75</v>
      </c>
      <c r="Q41" s="285" t="s">
        <v>255</v>
      </c>
      <c r="R41" s="285" t="s">
        <v>256</v>
      </c>
    </row>
    <row r="42" spans="1:102" s="293" customFormat="1" x14ac:dyDescent="0.25">
      <c r="A42" s="852" t="s">
        <v>257</v>
      </c>
      <c r="B42" s="852"/>
      <c r="C42" s="852"/>
      <c r="D42" s="614">
        <f>SUM(E42:R42)</f>
        <v>35256.820980615739</v>
      </c>
      <c r="E42" s="615">
        <f>E43+E44</f>
        <v>3526.1892273443018</v>
      </c>
      <c r="F42" s="615">
        <f>F43+F44</f>
        <v>88.001846120432219</v>
      </c>
      <c r="G42" s="615">
        <f t="shared" ref="G42:R42" si="3">G43+G44</f>
        <v>88.001846120432219</v>
      </c>
      <c r="H42" s="615">
        <f t="shared" si="3"/>
        <v>4455.4290601075099</v>
      </c>
      <c r="I42" s="615">
        <f t="shared" si="3"/>
        <v>88.001846120432219</v>
      </c>
      <c r="J42" s="615">
        <f t="shared" si="3"/>
        <v>88.001846120432219</v>
      </c>
      <c r="K42" s="615">
        <f t="shared" si="3"/>
        <v>88.001846120432219</v>
      </c>
      <c r="L42" s="615">
        <f t="shared" si="3"/>
        <v>88.001846120432219</v>
      </c>
      <c r="M42" s="615">
        <f t="shared" si="3"/>
        <v>88.001846120432219</v>
      </c>
      <c r="N42" s="615">
        <f t="shared" si="3"/>
        <v>88.001846120432219</v>
      </c>
      <c r="O42" s="615">
        <f t="shared" si="3"/>
        <v>1017.2416788836401</v>
      </c>
      <c r="P42" s="615">
        <f t="shared" si="3"/>
        <v>88.001846120432219</v>
      </c>
      <c r="Q42" s="615">
        <f t="shared" si="3"/>
        <v>88.001846120432219</v>
      </c>
      <c r="R42" s="615">
        <f t="shared" si="3"/>
        <v>25377.942553075962</v>
      </c>
    </row>
    <row r="43" spans="1:102" s="286" customFormat="1" x14ac:dyDescent="0.2">
      <c r="A43" s="852" t="s">
        <v>258</v>
      </c>
      <c r="B43" s="852"/>
      <c r="C43" s="852"/>
      <c r="D43" s="614">
        <f>SUM(E43:R43)</f>
        <v>34024.795134929685</v>
      </c>
      <c r="E43" s="616">
        <f>D76+D85</f>
        <v>3438.1873812238696</v>
      </c>
      <c r="F43" s="616">
        <f t="shared" ref="F43:R43" si="4">E76+E85</f>
        <v>0</v>
      </c>
      <c r="G43" s="616">
        <f t="shared" si="4"/>
        <v>0</v>
      </c>
      <c r="H43" s="616">
        <f t="shared" si="4"/>
        <v>4367.4272139870773</v>
      </c>
      <c r="I43" s="616">
        <f t="shared" si="4"/>
        <v>0</v>
      </c>
      <c r="J43" s="616">
        <f t="shared" si="4"/>
        <v>0</v>
      </c>
      <c r="K43" s="616">
        <f t="shared" si="4"/>
        <v>0</v>
      </c>
      <c r="L43" s="616">
        <f t="shared" si="4"/>
        <v>0</v>
      </c>
      <c r="M43" s="616">
        <f t="shared" si="4"/>
        <v>0</v>
      </c>
      <c r="N43" s="616">
        <f t="shared" si="4"/>
        <v>0</v>
      </c>
      <c r="O43" s="616">
        <f t="shared" si="4"/>
        <v>929.23983276320791</v>
      </c>
      <c r="P43" s="616">
        <f t="shared" si="4"/>
        <v>0</v>
      </c>
      <c r="Q43" s="616">
        <f t="shared" si="4"/>
        <v>0</v>
      </c>
      <c r="R43" s="616">
        <f t="shared" si="4"/>
        <v>25289.940706955531</v>
      </c>
    </row>
    <row r="44" spans="1:102" s="293" customFormat="1" x14ac:dyDescent="0.25">
      <c r="A44" s="854" t="s">
        <v>259</v>
      </c>
      <c r="B44" s="854"/>
      <c r="C44" s="854"/>
      <c r="D44" s="614">
        <f>SUM(E44:R44)</f>
        <v>1232.0258456860511</v>
      </c>
      <c r="E44" s="616">
        <f>D66</f>
        <v>88.001846120432219</v>
      </c>
      <c r="F44" s="616">
        <f t="shared" ref="F44:R44" si="5">E66</f>
        <v>88.001846120432219</v>
      </c>
      <c r="G44" s="616">
        <f t="shared" si="5"/>
        <v>88.001846120432219</v>
      </c>
      <c r="H44" s="616">
        <f t="shared" si="5"/>
        <v>88.001846120432219</v>
      </c>
      <c r="I44" s="616">
        <f t="shared" si="5"/>
        <v>88.001846120432219</v>
      </c>
      <c r="J44" s="616">
        <f t="shared" si="5"/>
        <v>88.001846120432219</v>
      </c>
      <c r="K44" s="616">
        <f t="shared" si="5"/>
        <v>88.001846120432219</v>
      </c>
      <c r="L44" s="616">
        <f t="shared" si="5"/>
        <v>88.001846120432219</v>
      </c>
      <c r="M44" s="616">
        <f t="shared" si="5"/>
        <v>88.001846120432219</v>
      </c>
      <c r="N44" s="616">
        <f t="shared" si="5"/>
        <v>88.001846120432219</v>
      </c>
      <c r="O44" s="616">
        <f t="shared" si="5"/>
        <v>88.001846120432219</v>
      </c>
      <c r="P44" s="616">
        <f t="shared" si="5"/>
        <v>88.001846120432219</v>
      </c>
      <c r="Q44" s="616">
        <f t="shared" si="5"/>
        <v>88.001846120432219</v>
      </c>
      <c r="R44" s="616">
        <f t="shared" si="5"/>
        <v>88.001846120432219</v>
      </c>
    </row>
    <row r="45" spans="1:102" s="294" customFormat="1" x14ac:dyDescent="0.25">
      <c r="A45" s="290"/>
      <c r="B45" s="291"/>
      <c r="C45" s="292"/>
      <c r="D45" s="292"/>
      <c r="E45" s="292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3"/>
    </row>
    <row r="46" spans="1:102" hidden="1" x14ac:dyDescent="0.25">
      <c r="A46" s="295" t="s">
        <v>260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</row>
    <row r="47" spans="1:102" s="295" customFormat="1" ht="25.5" hidden="1" x14ac:dyDescent="0.2">
      <c r="A47" s="296" t="s">
        <v>261</v>
      </c>
      <c r="B47" s="297" t="s">
        <v>262</v>
      </c>
      <c r="C47" s="297" t="s">
        <v>263</v>
      </c>
      <c r="D47" s="298" t="s">
        <v>43</v>
      </c>
      <c r="E47" s="299" t="s">
        <v>264</v>
      </c>
      <c r="F47" s="299" t="s">
        <v>63</v>
      </c>
      <c r="G47" s="299" t="s">
        <v>69</v>
      </c>
      <c r="H47" s="299" t="s">
        <v>64</v>
      </c>
      <c r="I47" s="300" t="s">
        <v>78</v>
      </c>
      <c r="J47" s="299" t="s">
        <v>60</v>
      </c>
      <c r="K47" s="299" t="s">
        <v>265</v>
      </c>
      <c r="L47" s="299" t="s">
        <v>75</v>
      </c>
      <c r="M47" s="299" t="s">
        <v>72</v>
      </c>
      <c r="N47" s="299" t="s">
        <v>74</v>
      </c>
      <c r="O47" s="299" t="s">
        <v>62</v>
      </c>
    </row>
    <row r="48" spans="1:102" s="304" customFormat="1" ht="45" hidden="1" customHeight="1" x14ac:dyDescent="0.2">
      <c r="A48" s="698">
        <v>2017</v>
      </c>
      <c r="B48" s="301">
        <f>(2570/2458)</f>
        <v>1.0455655004068349</v>
      </c>
      <c r="C48" s="302">
        <f>C51*B48</f>
        <v>375.35801464605373</v>
      </c>
      <c r="D48" s="303">
        <f>SUM(E49:Z49)</f>
        <v>7741.4221500000003</v>
      </c>
      <c r="E48" s="303">
        <f>6*$C$48/3+E52*$C$48</f>
        <v>2627.5061025223763</v>
      </c>
      <c r="F48" s="303">
        <f>6*$C$48/3+F52*$C$48</f>
        <v>2627.5061025223763</v>
      </c>
      <c r="G48" s="303">
        <f>6*$C$41/3+G52*$C$41</f>
        <v>0</v>
      </c>
      <c r="H48" s="303">
        <v>0</v>
      </c>
      <c r="I48" s="303">
        <v>0</v>
      </c>
      <c r="J48" s="303">
        <f>6*$C$41/3+J52*$C$41</f>
        <v>0</v>
      </c>
      <c r="K48" s="303">
        <v>0</v>
      </c>
      <c r="L48" s="303">
        <v>0</v>
      </c>
      <c r="M48" s="303">
        <v>0</v>
      </c>
      <c r="N48" s="303">
        <v>0</v>
      </c>
      <c r="O48" s="303">
        <v>0</v>
      </c>
    </row>
    <row r="49" spans="1:17" ht="13.5" hidden="1" customHeight="1" x14ac:dyDescent="0.25">
      <c r="A49" s="698">
        <v>2016</v>
      </c>
      <c r="B49" s="301">
        <v>1.02685</v>
      </c>
      <c r="C49" s="303">
        <f>B49*C51</f>
        <v>368.63915000000003</v>
      </c>
      <c r="D49" s="303">
        <f>SUM(E50:Z50)</f>
        <v>7508.844000000001</v>
      </c>
      <c r="E49" s="303">
        <f>6*$C$49/3+E52*$C$49</f>
        <v>2580.4740500000003</v>
      </c>
      <c r="F49" s="303">
        <f>6*$C$49/3+F52*$C$49</f>
        <v>2580.4740500000003</v>
      </c>
      <c r="G49" s="303">
        <f>6*$C$49/3+G52*$C$49</f>
        <v>1474.5566000000001</v>
      </c>
      <c r="H49" s="303">
        <v>0</v>
      </c>
      <c r="I49" s="303">
        <v>0</v>
      </c>
      <c r="J49" s="303">
        <f>$J$52*C49</f>
        <v>1105.9174500000001</v>
      </c>
      <c r="K49" s="303">
        <v>0</v>
      </c>
      <c r="L49" s="303">
        <v>0</v>
      </c>
      <c r="M49" s="303">
        <v>0</v>
      </c>
      <c r="N49" s="303">
        <v>0</v>
      </c>
      <c r="O49" s="303">
        <v>0</v>
      </c>
    </row>
    <row r="50" spans="1:17" s="233" customFormat="1" hidden="1" x14ac:dyDescent="0.25">
      <c r="A50" s="698">
        <v>2015</v>
      </c>
      <c r="B50" s="305">
        <v>0.996</v>
      </c>
      <c r="C50" s="303">
        <f>B50*C51</f>
        <v>357.56400000000002</v>
      </c>
      <c r="D50" s="303">
        <f>SUM(E51:Z51)</f>
        <v>7539</v>
      </c>
      <c r="E50" s="303">
        <f>6*$C$50/3+E52*$C$50</f>
        <v>2502.9480000000003</v>
      </c>
      <c r="F50" s="303">
        <f>6*$C$50/3+F52*$C$50</f>
        <v>2502.9480000000003</v>
      </c>
      <c r="G50" s="303">
        <f>6*$C$50/3+G52*$C$50</f>
        <v>1430.2560000000001</v>
      </c>
      <c r="H50" s="303">
        <v>0</v>
      </c>
      <c r="I50" s="303">
        <v>0</v>
      </c>
      <c r="J50" s="303">
        <f>$J$52*C50</f>
        <v>1072.692</v>
      </c>
      <c r="K50" s="303">
        <v>0</v>
      </c>
      <c r="L50" s="303">
        <v>0</v>
      </c>
      <c r="M50" s="303">
        <v>0</v>
      </c>
      <c r="N50" s="303">
        <v>0</v>
      </c>
      <c r="O50" s="303">
        <v>0</v>
      </c>
    </row>
    <row r="51" spans="1:17" s="233" customFormat="1" hidden="1" x14ac:dyDescent="0.25">
      <c r="A51" s="698">
        <v>2014</v>
      </c>
      <c r="B51" s="305" t="s">
        <v>185</v>
      </c>
      <c r="C51" s="303">
        <v>359</v>
      </c>
      <c r="D51" s="303">
        <f>SUM(E52:Z52)</f>
        <v>15</v>
      </c>
      <c r="E51" s="303">
        <f>6*$C$51/3+E52*$C$51</f>
        <v>2513</v>
      </c>
      <c r="F51" s="303">
        <f>6*$C$51/3+F52*$C$51</f>
        <v>2513</v>
      </c>
      <c r="G51" s="303">
        <f>6*$C$51/3+G52*$C$51</f>
        <v>1436</v>
      </c>
      <c r="H51" s="303">
        <v>0</v>
      </c>
      <c r="I51" s="303">
        <v>0</v>
      </c>
      <c r="J51" s="303">
        <f>$J$52*C51</f>
        <v>1077</v>
      </c>
      <c r="K51" s="303">
        <v>0</v>
      </c>
      <c r="L51" s="303">
        <v>0</v>
      </c>
      <c r="M51" s="303">
        <v>0</v>
      </c>
      <c r="N51" s="303">
        <v>0</v>
      </c>
      <c r="O51" s="303">
        <v>0</v>
      </c>
    </row>
    <row r="52" spans="1:17" s="233" customFormat="1" hidden="1" x14ac:dyDescent="0.25">
      <c r="A52" s="853" t="s">
        <v>266</v>
      </c>
      <c r="B52" s="853"/>
      <c r="C52" s="305" t="s">
        <v>267</v>
      </c>
      <c r="D52" s="305"/>
      <c r="E52" s="305">
        <v>5</v>
      </c>
      <c r="F52" s="556">
        <v>5</v>
      </c>
      <c r="G52" s="556">
        <v>2</v>
      </c>
      <c r="H52" s="556">
        <v>0</v>
      </c>
      <c r="I52" s="556">
        <v>0</v>
      </c>
      <c r="J52" s="556">
        <v>3</v>
      </c>
      <c r="K52" s="556">
        <v>0</v>
      </c>
      <c r="L52" s="556">
        <v>0</v>
      </c>
      <c r="M52" s="556">
        <v>0</v>
      </c>
      <c r="N52" s="556">
        <v>0</v>
      </c>
      <c r="O52" s="556">
        <v>0</v>
      </c>
    </row>
    <row r="53" spans="1:17" hidden="1" x14ac:dyDescent="0.25">
      <c r="A53" s="306"/>
      <c r="B53" s="307"/>
      <c r="C53" s="307"/>
      <c r="D53" s="307"/>
      <c r="E53" s="188"/>
    </row>
    <row r="54" spans="1:17" hidden="1" x14ac:dyDescent="0.25">
      <c r="B54" s="846" t="s">
        <v>268</v>
      </c>
      <c r="C54" s="846"/>
      <c r="D54" s="846"/>
      <c r="E54" s="846"/>
      <c r="F54" s="233"/>
      <c r="G54" s="233"/>
      <c r="H54" s="233"/>
      <c r="I54" s="233"/>
      <c r="J54" s="233"/>
      <c r="K54" s="233"/>
      <c r="L54" s="233"/>
      <c r="M54" s="233"/>
      <c r="N54" s="233"/>
    </row>
    <row r="55" spans="1:17" ht="15" hidden="1" customHeight="1" x14ac:dyDescent="0.25">
      <c r="A55" s="698" t="s">
        <v>261</v>
      </c>
      <c r="B55" s="847" t="s">
        <v>269</v>
      </c>
      <c r="C55" s="847"/>
      <c r="D55" s="848" t="s">
        <v>63</v>
      </c>
      <c r="E55" s="848"/>
      <c r="F55" s="861" t="s">
        <v>264</v>
      </c>
      <c r="G55" s="862"/>
      <c r="H55" s="861" t="s">
        <v>69</v>
      </c>
      <c r="I55" s="862"/>
      <c r="J55" s="861" t="s">
        <v>60</v>
      </c>
      <c r="K55" s="862"/>
    </row>
    <row r="56" spans="1:17" ht="30" hidden="1" customHeight="1" x14ac:dyDescent="0.25">
      <c r="A56" s="849" t="s">
        <v>270</v>
      </c>
      <c r="B56" s="844" t="s">
        <v>271</v>
      </c>
      <c r="C56" s="844"/>
      <c r="D56" s="844" t="s">
        <v>272</v>
      </c>
      <c r="E56" s="844"/>
      <c r="F56" s="700" t="s">
        <v>273</v>
      </c>
      <c r="G56" s="700"/>
      <c r="H56" s="700" t="s">
        <v>274</v>
      </c>
      <c r="I56" s="700"/>
      <c r="J56" s="700" t="s">
        <v>275</v>
      </c>
      <c r="K56" s="700"/>
    </row>
    <row r="57" spans="1:17" ht="15" hidden="1" customHeight="1" x14ac:dyDescent="0.25">
      <c r="A57" s="849"/>
      <c r="B57" s="844" t="s">
        <v>276</v>
      </c>
      <c r="C57" s="844"/>
      <c r="D57" s="844" t="s">
        <v>277</v>
      </c>
      <c r="E57" s="844"/>
      <c r="F57" s="700" t="s">
        <v>278</v>
      </c>
      <c r="G57" s="700"/>
      <c r="H57" s="700" t="s">
        <v>279</v>
      </c>
      <c r="I57" s="700"/>
      <c r="J57" s="700" t="s">
        <v>280</v>
      </c>
      <c r="K57" s="700"/>
    </row>
    <row r="58" spans="1:17" ht="15" hidden="1" customHeight="1" x14ac:dyDescent="0.25">
      <c r="A58" s="849"/>
      <c r="B58" s="844" t="s">
        <v>281</v>
      </c>
      <c r="C58" s="844"/>
      <c r="D58" s="844" t="s">
        <v>282</v>
      </c>
      <c r="E58" s="844"/>
      <c r="F58" s="700" t="s">
        <v>283</v>
      </c>
      <c r="G58" s="700"/>
      <c r="H58" s="700"/>
      <c r="I58" s="700"/>
      <c r="J58" s="700" t="s">
        <v>284</v>
      </c>
      <c r="K58" s="700"/>
    </row>
    <row r="59" spans="1:17" ht="15" hidden="1" customHeight="1" x14ac:dyDescent="0.25">
      <c r="A59" s="849"/>
      <c r="B59" s="844" t="s">
        <v>285</v>
      </c>
      <c r="C59" s="844"/>
      <c r="D59" s="844" t="s">
        <v>286</v>
      </c>
      <c r="E59" s="844"/>
      <c r="F59" s="700" t="s">
        <v>287</v>
      </c>
      <c r="G59" s="700"/>
      <c r="H59" s="700"/>
      <c r="I59" s="700"/>
      <c r="J59" s="700"/>
      <c r="K59" s="700"/>
    </row>
    <row r="60" spans="1:17" ht="15" hidden="1" customHeight="1" x14ac:dyDescent="0.25">
      <c r="A60" s="849"/>
      <c r="B60" s="844" t="s">
        <v>288</v>
      </c>
      <c r="C60" s="844"/>
      <c r="D60" s="844" t="s">
        <v>289</v>
      </c>
      <c r="E60" s="844"/>
      <c r="F60" s="700" t="s">
        <v>290</v>
      </c>
      <c r="G60" s="700"/>
      <c r="H60" s="700"/>
      <c r="I60" s="700"/>
      <c r="J60" s="700"/>
      <c r="K60" s="700"/>
    </row>
    <row r="61" spans="1:17" ht="15" hidden="1" customHeight="1" x14ac:dyDescent="0.25">
      <c r="A61" s="849"/>
      <c r="B61" s="844" t="s">
        <v>291</v>
      </c>
      <c r="C61" s="844"/>
      <c r="D61" s="844"/>
      <c r="E61" s="844"/>
      <c r="F61" s="700"/>
      <c r="G61" s="700"/>
      <c r="H61" s="700"/>
      <c r="I61" s="700"/>
      <c r="J61" s="700"/>
      <c r="K61" s="700"/>
    </row>
    <row r="62" spans="1:17" ht="15" hidden="1" customHeight="1" x14ac:dyDescent="0.25">
      <c r="A62" s="309" t="s">
        <v>292</v>
      </c>
      <c r="B62" s="844">
        <v>6</v>
      </c>
      <c r="C62" s="844"/>
      <c r="D62" s="844">
        <v>5</v>
      </c>
      <c r="E62" s="844"/>
      <c r="F62" s="845">
        <v>5</v>
      </c>
      <c r="G62" s="845"/>
      <c r="H62" s="845">
        <v>2</v>
      </c>
      <c r="I62" s="845"/>
      <c r="J62" s="845">
        <v>3</v>
      </c>
      <c r="K62" s="845"/>
    </row>
    <row r="63" spans="1:17" x14ac:dyDescent="0.25">
      <c r="A63" s="310"/>
      <c r="B63" s="311"/>
      <c r="C63" s="310"/>
      <c r="D63" s="310"/>
      <c r="E63" s="310"/>
      <c r="L63" s="233">
        <f>J62+H62+F62+D62+B62</f>
        <v>21</v>
      </c>
    </row>
    <row r="64" spans="1:17" x14ac:dyDescent="0.25">
      <c r="A64" s="277" t="s">
        <v>293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</row>
    <row r="65" spans="1:18" s="278" customFormat="1" ht="25.5" x14ac:dyDescent="0.2">
      <c r="A65" s="698" t="s">
        <v>261</v>
      </c>
      <c r="B65" s="312" t="s">
        <v>262</v>
      </c>
      <c r="C65" s="312" t="s">
        <v>263</v>
      </c>
      <c r="D65" s="299" t="s">
        <v>60</v>
      </c>
      <c r="E65" s="299" t="s">
        <v>252</v>
      </c>
      <c r="F65" s="299" t="s">
        <v>62</v>
      </c>
      <c r="G65" s="299" t="s">
        <v>63</v>
      </c>
      <c r="H65" s="299" t="s">
        <v>64</v>
      </c>
      <c r="I65" s="299" t="s">
        <v>65</v>
      </c>
      <c r="J65" s="299" t="s">
        <v>69</v>
      </c>
      <c r="K65" s="299" t="s">
        <v>253</v>
      </c>
      <c r="L65" s="300" t="s">
        <v>72</v>
      </c>
      <c r="M65" s="299" t="s">
        <v>254</v>
      </c>
      <c r="N65" s="299" t="s">
        <v>74</v>
      </c>
      <c r="O65" s="299" t="s">
        <v>75</v>
      </c>
      <c r="P65" s="299" t="s">
        <v>255</v>
      </c>
      <c r="Q65" s="299" t="s">
        <v>256</v>
      </c>
    </row>
    <row r="66" spans="1:18" s="286" customFormat="1" x14ac:dyDescent="0.25">
      <c r="A66" s="282">
        <v>2021</v>
      </c>
      <c r="B66" s="613">
        <f>2747/2631</f>
        <v>1.0440896997339415</v>
      </c>
      <c r="C66" s="610">
        <f>1180*B66</f>
        <v>1232.0258456860511</v>
      </c>
      <c r="D66" s="612">
        <f>$C$66/14</f>
        <v>88.001846120432219</v>
      </c>
      <c r="E66" s="612">
        <f t="shared" ref="E66:Q66" si="6">$C$66/14</f>
        <v>88.001846120432219</v>
      </c>
      <c r="F66" s="612">
        <f t="shared" si="6"/>
        <v>88.001846120432219</v>
      </c>
      <c r="G66" s="612">
        <f t="shared" si="6"/>
        <v>88.001846120432219</v>
      </c>
      <c r="H66" s="612">
        <f t="shared" si="6"/>
        <v>88.001846120432219</v>
      </c>
      <c r="I66" s="612">
        <f t="shared" si="6"/>
        <v>88.001846120432219</v>
      </c>
      <c r="J66" s="612">
        <f t="shared" si="6"/>
        <v>88.001846120432219</v>
      </c>
      <c r="K66" s="612">
        <f t="shared" si="6"/>
        <v>88.001846120432219</v>
      </c>
      <c r="L66" s="612">
        <f t="shared" si="6"/>
        <v>88.001846120432219</v>
      </c>
      <c r="M66" s="612">
        <f t="shared" si="6"/>
        <v>88.001846120432219</v>
      </c>
      <c r="N66" s="612">
        <f t="shared" si="6"/>
        <v>88.001846120432219</v>
      </c>
      <c r="O66" s="612">
        <f t="shared" si="6"/>
        <v>88.001846120432219</v>
      </c>
      <c r="P66" s="612">
        <f t="shared" si="6"/>
        <v>88.001846120432219</v>
      </c>
      <c r="Q66" s="612">
        <f t="shared" si="6"/>
        <v>88.001846120432219</v>
      </c>
    </row>
    <row r="67" spans="1:18" s="278" customFormat="1" x14ac:dyDescent="0.25">
      <c r="A67" s="698">
        <v>2019</v>
      </c>
      <c r="B67" s="313">
        <f>2694/2631</f>
        <v>1.0239452679589509</v>
      </c>
      <c r="C67" s="314">
        <f>1180*B67</f>
        <v>1208.2554161915621</v>
      </c>
      <c r="D67" s="315">
        <f>$C$67/14</f>
        <v>86.303958299397294</v>
      </c>
      <c r="E67" s="315">
        <f t="shared" ref="E67:Q67" si="7">$C$67/14</f>
        <v>86.303958299397294</v>
      </c>
      <c r="F67" s="315">
        <f t="shared" si="7"/>
        <v>86.303958299397294</v>
      </c>
      <c r="G67" s="315">
        <f t="shared" si="7"/>
        <v>86.303958299397294</v>
      </c>
      <c r="H67" s="315">
        <f t="shared" si="7"/>
        <v>86.303958299397294</v>
      </c>
      <c r="I67" s="315">
        <f t="shared" si="7"/>
        <v>86.303958299397294</v>
      </c>
      <c r="J67" s="315">
        <f t="shared" si="7"/>
        <v>86.303958299397294</v>
      </c>
      <c r="K67" s="315">
        <f t="shared" si="7"/>
        <v>86.303958299397294</v>
      </c>
      <c r="L67" s="315">
        <f t="shared" si="7"/>
        <v>86.303958299397294</v>
      </c>
      <c r="M67" s="315">
        <f t="shared" si="7"/>
        <v>86.303958299397294</v>
      </c>
      <c r="N67" s="315">
        <f t="shared" si="7"/>
        <v>86.303958299397294</v>
      </c>
      <c r="O67" s="315">
        <f t="shared" si="7"/>
        <v>86.303958299397294</v>
      </c>
      <c r="P67" s="315">
        <f t="shared" si="7"/>
        <v>86.303958299397294</v>
      </c>
      <c r="Q67" s="315">
        <f t="shared" si="7"/>
        <v>86.303958299397294</v>
      </c>
    </row>
    <row r="68" spans="1:18" x14ac:dyDescent="0.25">
      <c r="A68" s="316">
        <v>2018</v>
      </c>
      <c r="B68" s="317" t="s">
        <v>185</v>
      </c>
      <c r="C68" s="318">
        <f>1180-1180*35/100</f>
        <v>767</v>
      </c>
      <c r="D68" s="319">
        <f>$C$68/14</f>
        <v>54.785714285714285</v>
      </c>
      <c r="E68" s="319">
        <f t="shared" ref="E68:Q68" si="8">$C$68/14</f>
        <v>54.785714285714285</v>
      </c>
      <c r="F68" s="319">
        <f t="shared" si="8"/>
        <v>54.785714285714285</v>
      </c>
      <c r="G68" s="319">
        <f t="shared" si="8"/>
        <v>54.785714285714285</v>
      </c>
      <c r="H68" s="319">
        <f t="shared" si="8"/>
        <v>54.785714285714285</v>
      </c>
      <c r="I68" s="320">
        <v>0</v>
      </c>
      <c r="J68" s="319">
        <f t="shared" si="8"/>
        <v>54.785714285714285</v>
      </c>
      <c r="K68" s="319">
        <f t="shared" si="8"/>
        <v>54.785714285714285</v>
      </c>
      <c r="L68" s="319">
        <f t="shared" si="8"/>
        <v>54.785714285714285</v>
      </c>
      <c r="M68" s="319">
        <f t="shared" si="8"/>
        <v>54.785714285714285</v>
      </c>
      <c r="N68" s="319">
        <f t="shared" si="8"/>
        <v>54.785714285714285</v>
      </c>
      <c r="O68" s="319">
        <f t="shared" si="8"/>
        <v>54.785714285714285</v>
      </c>
      <c r="P68" s="319">
        <f t="shared" si="8"/>
        <v>54.785714285714285</v>
      </c>
      <c r="Q68" s="319">
        <f t="shared" si="8"/>
        <v>54.785714285714285</v>
      </c>
      <c r="R68" s="238"/>
    </row>
    <row r="69" spans="1:18" s="289" customFormat="1" x14ac:dyDescent="0.25">
      <c r="A69" s="316">
        <v>2017</v>
      </c>
      <c r="B69" s="321">
        <f>(2570/2458)</f>
        <v>1.0455655004068349</v>
      </c>
      <c r="C69" s="320">
        <f>C72*B69</f>
        <v>1182.5345809601304</v>
      </c>
      <c r="D69" s="322">
        <f t="shared" ref="D69:Q69" si="9">$C$37/11</f>
        <v>0</v>
      </c>
      <c r="E69" s="320">
        <v>0</v>
      </c>
      <c r="F69" s="320">
        <v>0</v>
      </c>
      <c r="G69" s="322">
        <f>$C$69/11</f>
        <v>107.50314372364822</v>
      </c>
      <c r="H69" s="322">
        <f t="shared" si="9"/>
        <v>0</v>
      </c>
      <c r="I69" s="320">
        <v>0</v>
      </c>
      <c r="J69" s="322">
        <f t="shared" si="9"/>
        <v>0</v>
      </c>
      <c r="K69" s="322">
        <f t="shared" si="9"/>
        <v>0</v>
      </c>
      <c r="L69" s="322">
        <f t="shared" si="9"/>
        <v>0</v>
      </c>
      <c r="M69" s="322">
        <f t="shared" si="9"/>
        <v>0</v>
      </c>
      <c r="N69" s="322">
        <f t="shared" si="9"/>
        <v>0</v>
      </c>
      <c r="O69" s="322">
        <f t="shared" si="9"/>
        <v>0</v>
      </c>
      <c r="P69" s="322">
        <v>0</v>
      </c>
      <c r="Q69" s="322">
        <f t="shared" si="9"/>
        <v>0</v>
      </c>
    </row>
    <row r="70" spans="1:18" x14ac:dyDescent="0.25">
      <c r="A70" s="698">
        <v>2016</v>
      </c>
      <c r="B70" s="301">
        <v>1.02685</v>
      </c>
      <c r="C70" s="303">
        <f>B70*C72</f>
        <v>1161.36735</v>
      </c>
      <c r="D70" s="303">
        <f t="shared" ref="D70:Q72" si="10">$C70/11</f>
        <v>105.57885</v>
      </c>
      <c r="E70" s="320">
        <v>0</v>
      </c>
      <c r="F70" s="320">
        <v>0</v>
      </c>
      <c r="G70" s="303">
        <f t="shared" ref="G70:H72" si="11">$C70/11</f>
        <v>105.57885</v>
      </c>
      <c r="H70" s="303">
        <f t="shared" si="11"/>
        <v>105.57885</v>
      </c>
      <c r="I70" s="320">
        <v>0</v>
      </c>
      <c r="J70" s="303">
        <f t="shared" si="10"/>
        <v>105.57885</v>
      </c>
      <c r="K70" s="303">
        <f t="shared" si="10"/>
        <v>105.57885</v>
      </c>
      <c r="L70" s="303">
        <f t="shared" si="10"/>
        <v>105.57885</v>
      </c>
      <c r="M70" s="303">
        <f t="shared" si="10"/>
        <v>105.57885</v>
      </c>
      <c r="N70" s="303">
        <f t="shared" si="10"/>
        <v>105.57885</v>
      </c>
      <c r="O70" s="303">
        <f t="shared" si="10"/>
        <v>105.57885</v>
      </c>
      <c r="P70" s="303">
        <v>0</v>
      </c>
      <c r="Q70" s="303">
        <f t="shared" si="10"/>
        <v>105.57885</v>
      </c>
    </row>
    <row r="71" spans="1:18" x14ac:dyDescent="0.25">
      <c r="A71" s="698">
        <v>2015</v>
      </c>
      <c r="B71" s="305">
        <v>0.996</v>
      </c>
      <c r="C71" s="303">
        <f>B71*C72</f>
        <v>1126.4759999999999</v>
      </c>
      <c r="D71" s="303">
        <f t="shared" si="10"/>
        <v>102.40690909090908</v>
      </c>
      <c r="E71" s="320">
        <v>0</v>
      </c>
      <c r="F71" s="320">
        <v>0</v>
      </c>
      <c r="G71" s="303">
        <f t="shared" si="11"/>
        <v>102.40690909090908</v>
      </c>
      <c r="H71" s="303">
        <f t="shared" si="11"/>
        <v>102.40690909090908</v>
      </c>
      <c r="I71" s="320">
        <v>0</v>
      </c>
      <c r="J71" s="303">
        <f t="shared" si="10"/>
        <v>102.40690909090908</v>
      </c>
      <c r="K71" s="303">
        <f t="shared" si="10"/>
        <v>102.40690909090908</v>
      </c>
      <c r="L71" s="303">
        <f t="shared" si="10"/>
        <v>102.40690909090908</v>
      </c>
      <c r="M71" s="303">
        <f t="shared" si="10"/>
        <v>102.40690909090908</v>
      </c>
      <c r="N71" s="303">
        <f t="shared" si="10"/>
        <v>102.40690909090908</v>
      </c>
      <c r="O71" s="303">
        <f t="shared" si="10"/>
        <v>102.40690909090908</v>
      </c>
      <c r="P71" s="303">
        <v>0</v>
      </c>
      <c r="Q71" s="303">
        <f t="shared" si="10"/>
        <v>102.40690909090908</v>
      </c>
    </row>
    <row r="72" spans="1:18" x14ac:dyDescent="0.25">
      <c r="A72" s="698">
        <v>2014</v>
      </c>
      <c r="B72" s="706" t="s">
        <v>185</v>
      </c>
      <c r="C72" s="303">
        <v>1131</v>
      </c>
      <c r="D72" s="303">
        <f t="shared" si="10"/>
        <v>102.81818181818181</v>
      </c>
      <c r="E72" s="320">
        <v>0</v>
      </c>
      <c r="F72" s="320">
        <v>0</v>
      </c>
      <c r="G72" s="303">
        <f t="shared" si="11"/>
        <v>102.81818181818181</v>
      </c>
      <c r="H72" s="303">
        <f t="shared" si="11"/>
        <v>102.81818181818181</v>
      </c>
      <c r="I72" s="320">
        <v>0</v>
      </c>
      <c r="J72" s="303">
        <f t="shared" si="10"/>
        <v>102.81818181818181</v>
      </c>
      <c r="K72" s="303">
        <f t="shared" si="10"/>
        <v>102.81818181818181</v>
      </c>
      <c r="L72" s="303">
        <f t="shared" si="10"/>
        <v>102.81818181818181</v>
      </c>
      <c r="M72" s="303">
        <f t="shared" si="10"/>
        <v>102.81818181818181</v>
      </c>
      <c r="N72" s="303">
        <f t="shared" si="10"/>
        <v>102.81818181818181</v>
      </c>
      <c r="O72" s="303">
        <f t="shared" si="10"/>
        <v>102.81818181818181</v>
      </c>
      <c r="P72" s="303">
        <v>0</v>
      </c>
      <c r="Q72" s="303">
        <f t="shared" si="10"/>
        <v>102.81818181818181</v>
      </c>
    </row>
    <row r="73" spans="1:18" x14ac:dyDescent="0.25">
      <c r="B73" s="188"/>
      <c r="C73" s="188"/>
      <c r="D73" s="188"/>
      <c r="E73" s="188"/>
    </row>
    <row r="74" spans="1:18" x14ac:dyDescent="0.25">
      <c r="A74" s="277" t="s">
        <v>294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</row>
    <row r="75" spans="1:18" s="278" customFormat="1" ht="25.5" x14ac:dyDescent="0.2">
      <c r="A75" s="698" t="s">
        <v>261</v>
      </c>
      <c r="B75" s="312" t="s">
        <v>262</v>
      </c>
      <c r="C75" s="312" t="s">
        <v>263</v>
      </c>
      <c r="D75" s="299" t="s">
        <v>60</v>
      </c>
      <c r="E75" s="299" t="s">
        <v>252</v>
      </c>
      <c r="F75" s="299" t="s">
        <v>62</v>
      </c>
      <c r="G75" s="299" t="s">
        <v>63</v>
      </c>
      <c r="H75" s="299" t="s">
        <v>64</v>
      </c>
      <c r="I75" s="299" t="s">
        <v>65</v>
      </c>
      <c r="J75" s="299" t="s">
        <v>69</v>
      </c>
      <c r="K75" s="299" t="s">
        <v>253</v>
      </c>
      <c r="L75" s="300" t="s">
        <v>72</v>
      </c>
      <c r="M75" s="299" t="s">
        <v>254</v>
      </c>
      <c r="N75" s="299" t="s">
        <v>74</v>
      </c>
      <c r="O75" s="299" t="s">
        <v>75</v>
      </c>
      <c r="P75" s="299" t="s">
        <v>255</v>
      </c>
      <c r="Q75" s="299" t="s">
        <v>256</v>
      </c>
    </row>
    <row r="76" spans="1:18" s="286" customFormat="1" x14ac:dyDescent="0.2">
      <c r="A76" s="282">
        <v>2021</v>
      </c>
      <c r="B76" s="609">
        <f>B66</f>
        <v>1.0440896997339415</v>
      </c>
      <c r="C76" s="611"/>
      <c r="D76" s="612">
        <f>D78*B76</f>
        <v>3438.1873812238696</v>
      </c>
      <c r="E76" s="283"/>
      <c r="F76" s="283"/>
      <c r="G76" s="612">
        <f>G78*B76</f>
        <v>3438.1873812238696</v>
      </c>
      <c r="H76" s="283"/>
      <c r="I76" s="283"/>
      <c r="J76" s="283"/>
      <c r="K76" s="283"/>
      <c r="L76" s="284"/>
      <c r="M76" s="283"/>
      <c r="N76" s="283"/>
      <c r="O76" s="283"/>
      <c r="P76" s="283"/>
      <c r="Q76" s="283">
        <f>Q78*B76</f>
        <v>25289.940706955531</v>
      </c>
    </row>
    <row r="77" spans="1:18" s="278" customFormat="1" x14ac:dyDescent="0.25">
      <c r="A77" s="698">
        <v>2019</v>
      </c>
      <c r="B77" s="313">
        <f>2694/2631</f>
        <v>1.0239452679589509</v>
      </c>
      <c r="C77" s="314"/>
      <c r="D77" s="315">
        <v>3372</v>
      </c>
      <c r="E77" s="315"/>
      <c r="F77" s="315"/>
      <c r="G77" s="315">
        <v>3372</v>
      </c>
      <c r="H77" s="315"/>
      <c r="I77" s="315"/>
      <c r="J77" s="315"/>
      <c r="K77" s="315"/>
      <c r="L77" s="315"/>
      <c r="M77" s="315"/>
      <c r="N77" s="315"/>
      <c r="O77" s="315"/>
      <c r="P77" s="315"/>
      <c r="Q77" s="315">
        <v>24802</v>
      </c>
    </row>
    <row r="78" spans="1:18" x14ac:dyDescent="0.25">
      <c r="A78" s="316">
        <v>2018</v>
      </c>
      <c r="B78" s="317" t="s">
        <v>185</v>
      </c>
      <c r="C78" s="318"/>
      <c r="D78" s="319">
        <v>3293</v>
      </c>
      <c r="E78" s="319"/>
      <c r="F78" s="319"/>
      <c r="G78" s="319">
        <v>3293</v>
      </c>
      <c r="H78" s="319"/>
      <c r="I78" s="320"/>
      <c r="J78" s="319"/>
      <c r="K78" s="319"/>
      <c r="L78" s="319"/>
      <c r="M78" s="319"/>
      <c r="N78" s="319"/>
      <c r="O78" s="319"/>
      <c r="P78" s="319"/>
      <c r="Q78" s="319">
        <v>24222</v>
      </c>
      <c r="R78" s="238"/>
    </row>
    <row r="79" spans="1:18" s="289" customFormat="1" x14ac:dyDescent="0.25">
      <c r="A79" s="316">
        <v>2017</v>
      </c>
      <c r="B79" s="321">
        <f>(2570/2458)</f>
        <v>1.0455655004068349</v>
      </c>
      <c r="C79" s="314">
        <f>B79*C82</f>
        <v>3659.4792514239221</v>
      </c>
      <c r="D79" s="303">
        <f t="shared" ref="D79:D81" si="12">C79</f>
        <v>3659.4792514239221</v>
      </c>
      <c r="E79" s="320"/>
      <c r="F79" s="320"/>
      <c r="G79" s="320">
        <f>C79</f>
        <v>3659.4792514239221</v>
      </c>
      <c r="H79" s="322"/>
      <c r="I79" s="320"/>
      <c r="J79" s="322"/>
      <c r="K79" s="322"/>
      <c r="L79" s="322"/>
      <c r="M79" s="322"/>
      <c r="N79" s="322"/>
      <c r="O79" s="322"/>
      <c r="P79" s="322"/>
      <c r="Q79" s="322"/>
    </row>
    <row r="80" spans="1:18" x14ac:dyDescent="0.25">
      <c r="A80" s="698">
        <v>2016</v>
      </c>
      <c r="B80" s="301">
        <v>1.02685</v>
      </c>
      <c r="C80" s="303">
        <f>B80*C82</f>
        <v>3593.9750000000004</v>
      </c>
      <c r="D80" s="303">
        <f t="shared" si="12"/>
        <v>3593.9750000000004</v>
      </c>
      <c r="E80" s="320"/>
      <c r="F80" s="320"/>
      <c r="G80" s="320">
        <f>C80</f>
        <v>3593.9750000000004</v>
      </c>
      <c r="H80" s="303"/>
      <c r="I80" s="320"/>
      <c r="J80" s="303"/>
      <c r="K80" s="303"/>
      <c r="L80" s="303"/>
      <c r="M80" s="303"/>
      <c r="N80" s="303"/>
      <c r="O80" s="303"/>
      <c r="P80" s="303"/>
      <c r="Q80" s="303"/>
    </row>
    <row r="81" spans="1:18" x14ac:dyDescent="0.25">
      <c r="A81" s="698">
        <v>2015</v>
      </c>
      <c r="B81" s="305">
        <v>0.996</v>
      </c>
      <c r="C81" s="303">
        <f>B81*C82</f>
        <v>3486</v>
      </c>
      <c r="D81" s="303">
        <f t="shared" si="12"/>
        <v>3486</v>
      </c>
      <c r="E81" s="320"/>
      <c r="F81" s="320"/>
      <c r="G81" s="320">
        <f>C81</f>
        <v>3486</v>
      </c>
      <c r="H81" s="303"/>
      <c r="I81" s="320"/>
      <c r="J81" s="303"/>
      <c r="K81" s="303"/>
      <c r="L81" s="303"/>
      <c r="M81" s="303"/>
      <c r="N81" s="303"/>
      <c r="O81" s="303"/>
      <c r="P81" s="303"/>
      <c r="Q81" s="303"/>
    </row>
    <row r="82" spans="1:18" x14ac:dyDescent="0.25">
      <c r="A82" s="698">
        <v>2014</v>
      </c>
      <c r="B82" s="706" t="s">
        <v>185</v>
      </c>
      <c r="C82" s="303">
        <v>3500</v>
      </c>
      <c r="D82" s="303">
        <f>C82</f>
        <v>3500</v>
      </c>
      <c r="E82" s="320"/>
      <c r="F82" s="320"/>
      <c r="G82" s="320">
        <f>C82</f>
        <v>3500</v>
      </c>
      <c r="H82" s="303"/>
      <c r="I82" s="320"/>
      <c r="J82" s="303"/>
      <c r="K82" s="303"/>
      <c r="L82" s="303"/>
      <c r="M82" s="303"/>
      <c r="N82" s="303"/>
      <c r="O82" s="303"/>
      <c r="P82" s="303"/>
      <c r="Q82" s="303"/>
    </row>
    <row r="83" spans="1:18" x14ac:dyDescent="0.25">
      <c r="A83" s="306"/>
      <c r="B83" s="323"/>
      <c r="C83" s="324"/>
      <c r="D83" s="324"/>
      <c r="E83" s="325"/>
      <c r="F83" s="325"/>
      <c r="G83" s="324"/>
      <c r="H83" s="324"/>
      <c r="I83" s="325"/>
      <c r="J83" s="324"/>
      <c r="K83" s="324"/>
      <c r="L83" s="324"/>
      <c r="M83" s="324"/>
      <c r="N83" s="324"/>
      <c r="O83" s="324"/>
      <c r="P83" s="324"/>
      <c r="Q83" s="324"/>
    </row>
    <row r="84" spans="1:18" s="278" customFormat="1" ht="25.5" x14ac:dyDescent="0.2">
      <c r="A84" s="698" t="s">
        <v>261</v>
      </c>
      <c r="B84" s="312" t="s">
        <v>262</v>
      </c>
      <c r="C84" s="312" t="s">
        <v>263</v>
      </c>
      <c r="D84" s="299" t="s">
        <v>60</v>
      </c>
      <c r="E84" s="299" t="s">
        <v>252</v>
      </c>
      <c r="F84" s="299" t="s">
        <v>62</v>
      </c>
      <c r="G84" s="299" t="s">
        <v>63</v>
      </c>
      <c r="H84" s="299" t="s">
        <v>64</v>
      </c>
      <c r="I84" s="299" t="s">
        <v>65</v>
      </c>
      <c r="J84" s="299" t="s">
        <v>69</v>
      </c>
      <c r="K84" s="299" t="s">
        <v>253</v>
      </c>
      <c r="L84" s="300" t="s">
        <v>72</v>
      </c>
      <c r="M84" s="299" t="s">
        <v>254</v>
      </c>
      <c r="N84" s="299" t="s">
        <v>74</v>
      </c>
      <c r="O84" s="299" t="s">
        <v>75</v>
      </c>
      <c r="P84" s="299" t="s">
        <v>255</v>
      </c>
      <c r="Q84" s="299" t="s">
        <v>256</v>
      </c>
    </row>
    <row r="85" spans="1:18" s="286" customFormat="1" x14ac:dyDescent="0.2">
      <c r="A85" s="282">
        <v>2021</v>
      </c>
      <c r="B85" s="609">
        <f>B66</f>
        <v>1.0440896997339415</v>
      </c>
      <c r="C85" s="610">
        <f>C87*$B$85</f>
        <v>929.23983276320791</v>
      </c>
      <c r="D85" s="283"/>
      <c r="E85" s="283"/>
      <c r="F85" s="283"/>
      <c r="G85" s="610">
        <f>G87*$B$85</f>
        <v>929.23983276320791</v>
      </c>
      <c r="H85" s="283"/>
      <c r="I85" s="283"/>
      <c r="J85" s="283"/>
      <c r="K85" s="283"/>
      <c r="L85" s="284"/>
      <c r="M85" s="283"/>
      <c r="N85" s="610">
        <f>N87*$B$85</f>
        <v>929.23983276320791</v>
      </c>
      <c r="O85" s="283"/>
      <c r="P85" s="283"/>
      <c r="Q85" s="283"/>
    </row>
    <row r="86" spans="1:18" s="278" customFormat="1" x14ac:dyDescent="0.25">
      <c r="A86" s="698">
        <v>2019</v>
      </c>
      <c r="B86" s="313">
        <f>2694/2631</f>
        <v>1.0239452679589509</v>
      </c>
      <c r="C86" s="314">
        <f>C87*B86</f>
        <v>911.31128848346634</v>
      </c>
      <c r="D86" s="315"/>
      <c r="E86" s="315"/>
      <c r="F86" s="315"/>
      <c r="G86" s="315">
        <f>C86</f>
        <v>911.31128848346634</v>
      </c>
      <c r="H86" s="315"/>
      <c r="I86" s="315"/>
      <c r="J86" s="315"/>
      <c r="K86" s="315"/>
      <c r="L86" s="315"/>
      <c r="M86" s="315"/>
      <c r="N86" s="315">
        <f>C86</f>
        <v>911.31128848346634</v>
      </c>
      <c r="O86" s="315"/>
      <c r="P86" s="315"/>
      <c r="Q86" s="315"/>
    </row>
    <row r="87" spans="1:18" x14ac:dyDescent="0.25">
      <c r="A87" s="316">
        <v>2018</v>
      </c>
      <c r="B87" s="317" t="s">
        <v>185</v>
      </c>
      <c r="C87" s="314">
        <v>890</v>
      </c>
      <c r="D87" s="319"/>
      <c r="E87" s="319"/>
      <c r="F87" s="319"/>
      <c r="G87" s="315">
        <f t="shared" ref="G87:G91" si="13">C87</f>
        <v>890</v>
      </c>
      <c r="H87" s="319"/>
      <c r="I87" s="320"/>
      <c r="J87" s="319"/>
      <c r="K87" s="319"/>
      <c r="L87" s="319"/>
      <c r="M87" s="319"/>
      <c r="N87" s="315">
        <f t="shared" ref="N87:N91" si="14">C87</f>
        <v>890</v>
      </c>
      <c r="O87" s="319"/>
      <c r="P87" s="319"/>
      <c r="Q87" s="319"/>
      <c r="R87" s="238"/>
    </row>
    <row r="88" spans="1:18" s="289" customFormat="1" x14ac:dyDescent="0.25">
      <c r="A88" s="316">
        <v>2017</v>
      </c>
      <c r="B88" s="321">
        <f>(2570/2458)</f>
        <v>1.0455655004068349</v>
      </c>
      <c r="C88" s="314">
        <f>C91*B88</f>
        <v>888.73067534580969</v>
      </c>
      <c r="D88" s="303"/>
      <c r="E88" s="320"/>
      <c r="F88" s="320"/>
      <c r="G88" s="315">
        <f t="shared" si="13"/>
        <v>888.73067534580969</v>
      </c>
      <c r="H88" s="322"/>
      <c r="I88" s="320"/>
      <c r="J88" s="322"/>
      <c r="K88" s="322"/>
      <c r="L88" s="322"/>
      <c r="M88" s="322"/>
      <c r="N88" s="315">
        <f t="shared" si="14"/>
        <v>888.73067534580969</v>
      </c>
      <c r="O88" s="322"/>
      <c r="P88" s="322"/>
      <c r="Q88" s="322"/>
    </row>
    <row r="89" spans="1:18" x14ac:dyDescent="0.25">
      <c r="A89" s="698">
        <v>2016</v>
      </c>
      <c r="B89" s="301">
        <v>1.02685</v>
      </c>
      <c r="C89" s="303">
        <f>B89*C91</f>
        <v>872.82249999999999</v>
      </c>
      <c r="D89" s="303"/>
      <c r="E89" s="320"/>
      <c r="F89" s="320"/>
      <c r="G89" s="315">
        <f t="shared" si="13"/>
        <v>872.82249999999999</v>
      </c>
      <c r="H89" s="303"/>
      <c r="I89" s="320"/>
      <c r="J89" s="303"/>
      <c r="K89" s="303"/>
      <c r="L89" s="303"/>
      <c r="M89" s="303"/>
      <c r="N89" s="315">
        <f t="shared" si="14"/>
        <v>872.82249999999999</v>
      </c>
      <c r="O89" s="303"/>
      <c r="P89" s="303"/>
      <c r="Q89" s="303"/>
    </row>
    <row r="90" spans="1:18" x14ac:dyDescent="0.25">
      <c r="A90" s="698">
        <v>2015</v>
      </c>
      <c r="B90" s="305">
        <v>0.996</v>
      </c>
      <c r="C90" s="303">
        <f>B90*C91</f>
        <v>846.6</v>
      </c>
      <c r="D90" s="303"/>
      <c r="E90" s="320"/>
      <c r="F90" s="320"/>
      <c r="G90" s="315">
        <f t="shared" si="13"/>
        <v>846.6</v>
      </c>
      <c r="H90" s="303"/>
      <c r="I90" s="320"/>
      <c r="J90" s="303"/>
      <c r="K90" s="303"/>
      <c r="L90" s="303"/>
      <c r="M90" s="303"/>
      <c r="N90" s="315">
        <f t="shared" si="14"/>
        <v>846.6</v>
      </c>
      <c r="O90" s="303"/>
      <c r="P90" s="303"/>
      <c r="Q90" s="303"/>
    </row>
    <row r="91" spans="1:18" x14ac:dyDescent="0.25">
      <c r="A91" s="698">
        <v>2014</v>
      </c>
      <c r="B91" s="706" t="s">
        <v>185</v>
      </c>
      <c r="C91" s="303">
        <v>850</v>
      </c>
      <c r="D91" s="303"/>
      <c r="E91" s="320"/>
      <c r="F91" s="320"/>
      <c r="G91" s="314">
        <f t="shared" si="13"/>
        <v>850</v>
      </c>
      <c r="H91" s="303"/>
      <c r="I91" s="320"/>
      <c r="J91" s="303"/>
      <c r="K91" s="303"/>
      <c r="L91" s="303"/>
      <c r="M91" s="303"/>
      <c r="N91" s="314">
        <f t="shared" si="14"/>
        <v>850</v>
      </c>
      <c r="O91" s="303"/>
      <c r="P91" s="303"/>
      <c r="Q91" s="303"/>
    </row>
    <row r="92" spans="1:18" x14ac:dyDescent="0.25">
      <c r="A92" s="306"/>
      <c r="B92" s="323"/>
      <c r="C92" s="324"/>
      <c r="D92" s="324"/>
      <c r="E92" s="325"/>
      <c r="F92" s="325"/>
      <c r="G92" s="324"/>
      <c r="H92" s="324"/>
      <c r="I92" s="325"/>
      <c r="J92" s="324"/>
      <c r="K92" s="324"/>
      <c r="L92" s="324"/>
      <c r="M92" s="324"/>
      <c r="N92" s="324"/>
      <c r="O92" s="324"/>
      <c r="P92" s="324"/>
      <c r="Q92" s="324"/>
    </row>
  </sheetData>
  <mergeCells count="43">
    <mergeCell ref="F55:G55"/>
    <mergeCell ref="H55:I55"/>
    <mergeCell ref="J55:K55"/>
    <mergeCell ref="L1:L3"/>
    <mergeCell ref="M1:Q1"/>
    <mergeCell ref="M2:Q2"/>
    <mergeCell ref="A1:A3"/>
    <mergeCell ref="B1:F1"/>
    <mergeCell ref="B2:F2"/>
    <mergeCell ref="B30:D30"/>
    <mergeCell ref="B31:C31"/>
    <mergeCell ref="B32:C32"/>
    <mergeCell ref="B33:C33"/>
    <mergeCell ref="B34:C34"/>
    <mergeCell ref="B35:C35"/>
    <mergeCell ref="B37:D37"/>
    <mergeCell ref="B38:C38"/>
    <mergeCell ref="A41:C41"/>
    <mergeCell ref="A42:C42"/>
    <mergeCell ref="A43:C43"/>
    <mergeCell ref="A52:B52"/>
    <mergeCell ref="A44:C44"/>
    <mergeCell ref="B54:E54"/>
    <mergeCell ref="B55:C55"/>
    <mergeCell ref="D55:E55"/>
    <mergeCell ref="A56:A61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F62:G62"/>
    <mergeCell ref="H62:I62"/>
    <mergeCell ref="J62:K6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80"/>
  <sheetViews>
    <sheetView workbookViewId="0">
      <selection sqref="A1:A3"/>
    </sheetView>
  </sheetViews>
  <sheetFormatPr baseColWidth="10" defaultColWidth="9.140625" defaultRowHeight="15" x14ac:dyDescent="0.25"/>
  <cols>
    <col min="1" max="1" width="20" style="188" customWidth="1"/>
    <col min="2" max="2" width="21" style="188" customWidth="1"/>
    <col min="3" max="3" width="15.7109375" style="188" customWidth="1"/>
    <col min="4" max="4" width="14" style="308" customWidth="1"/>
    <col min="5" max="6" width="9.140625" style="308"/>
    <col min="7" max="7" width="17.85546875" style="308" customWidth="1"/>
    <col min="8" max="8" width="10.42578125" style="188" bestFit="1" customWidth="1"/>
    <col min="9" max="9" width="11.7109375" style="188" customWidth="1"/>
    <col min="10" max="10" width="10.42578125" style="188" bestFit="1" customWidth="1"/>
    <col min="11" max="13" width="9.140625" style="188"/>
    <col min="14" max="16" width="9.140625" style="308"/>
    <col min="17" max="16384" width="9.140625" style="188"/>
  </cols>
  <sheetData>
    <row r="1" spans="1:16" ht="30" customHeight="1" x14ac:dyDescent="0.25">
      <c r="A1" s="887" t="s">
        <v>234</v>
      </c>
      <c r="B1" s="858" t="s">
        <v>295</v>
      </c>
      <c r="C1" s="858"/>
      <c r="D1" s="858"/>
      <c r="E1" s="188"/>
      <c r="F1" s="188"/>
      <c r="G1" s="886" t="s">
        <v>296</v>
      </c>
      <c r="H1" s="886"/>
      <c r="I1" s="886"/>
      <c r="J1" s="886"/>
      <c r="N1" s="188"/>
      <c r="O1" s="188"/>
      <c r="P1" s="188"/>
    </row>
    <row r="2" spans="1:16" x14ac:dyDescent="0.25">
      <c r="A2" s="887"/>
      <c r="B2" s="888" t="s">
        <v>297</v>
      </c>
      <c r="C2" s="888"/>
      <c r="D2" s="888"/>
      <c r="E2" s="188"/>
      <c r="F2" s="188"/>
      <c r="G2" s="885">
        <v>2021</v>
      </c>
      <c r="H2" s="885"/>
      <c r="I2" s="885"/>
      <c r="J2" s="885"/>
      <c r="N2" s="188"/>
      <c r="O2" s="188"/>
      <c r="P2" s="188"/>
    </row>
    <row r="3" spans="1:16" ht="62.25" customHeight="1" x14ac:dyDescent="0.25">
      <c r="A3" s="887"/>
      <c r="B3" s="326" t="s">
        <v>189</v>
      </c>
      <c r="C3" s="327" t="s">
        <v>237</v>
      </c>
      <c r="D3" s="327" t="s">
        <v>238</v>
      </c>
      <c r="E3" s="688"/>
      <c r="F3" s="188"/>
      <c r="G3" s="596" t="s">
        <v>234</v>
      </c>
      <c r="H3" s="366" t="s">
        <v>298</v>
      </c>
      <c r="I3" s="366" t="s">
        <v>299</v>
      </c>
      <c r="J3" s="645" t="s">
        <v>300</v>
      </c>
      <c r="N3" s="188"/>
      <c r="O3" s="188"/>
      <c r="P3" s="188"/>
    </row>
    <row r="4" spans="1:16" x14ac:dyDescent="0.25">
      <c r="A4" s="241" t="s">
        <v>60</v>
      </c>
      <c r="B4" s="246">
        <f>C4+D4</f>
        <v>2173.977949176372</v>
      </c>
      <c r="C4" s="243">
        <f>H4</f>
        <v>2173.977949176372</v>
      </c>
      <c r="D4" s="244">
        <f>I44</f>
        <v>0</v>
      </c>
      <c r="E4" s="688"/>
      <c r="F4" s="188"/>
      <c r="G4" s="597" t="s">
        <v>60</v>
      </c>
      <c r="H4" s="574">
        <f>I4+J4</f>
        <v>2173.977949176372</v>
      </c>
      <c r="I4" s="253">
        <f>'ANNEXE 1 Grille'!B2*($D$32*74/100)</f>
        <v>1208.0145815252943</v>
      </c>
      <c r="J4" s="646">
        <f t="shared" ref="J4:J24" si="0">IF(I4&lt;&gt;0,$I$26/D$30,I4)</f>
        <v>965.96336765107753</v>
      </c>
      <c r="N4" s="188"/>
      <c r="O4" s="188"/>
      <c r="P4" s="188"/>
    </row>
    <row r="5" spans="1:16" x14ac:dyDescent="0.25">
      <c r="A5" s="241" t="s">
        <v>61</v>
      </c>
      <c r="B5" s="246">
        <f t="shared" ref="B5:B25" si="1">C5+D5</f>
        <v>0</v>
      </c>
      <c r="C5" s="243">
        <f t="shared" ref="C5:C22" si="2">H5</f>
        <v>0</v>
      </c>
      <c r="D5" s="244"/>
      <c r="E5" s="780"/>
      <c r="F5" s="188"/>
      <c r="G5" s="597" t="s">
        <v>61</v>
      </c>
      <c r="H5" s="574">
        <f t="shared" ref="H5:H24" si="3">I5+J5</f>
        <v>0</v>
      </c>
      <c r="I5" s="253"/>
      <c r="J5" s="647">
        <f t="shared" si="0"/>
        <v>0</v>
      </c>
      <c r="N5" s="188"/>
      <c r="O5" s="188"/>
      <c r="P5" s="188"/>
    </row>
    <row r="6" spans="1:16" x14ac:dyDescent="0.25">
      <c r="A6" s="241" t="s">
        <v>62</v>
      </c>
      <c r="B6" s="246">
        <f t="shared" si="1"/>
        <v>0</v>
      </c>
      <c r="C6" s="243">
        <f t="shared" si="2"/>
        <v>0</v>
      </c>
      <c r="D6" s="244"/>
      <c r="E6" s="688"/>
      <c r="F6" s="188"/>
      <c r="G6" s="597" t="s">
        <v>174</v>
      </c>
      <c r="H6" s="574">
        <f t="shared" si="3"/>
        <v>0</v>
      </c>
      <c r="I6" s="253"/>
      <c r="J6" s="647">
        <f t="shared" si="0"/>
        <v>0</v>
      </c>
      <c r="N6" s="188"/>
      <c r="O6" s="188"/>
      <c r="P6" s="188"/>
    </row>
    <row r="7" spans="1:16" x14ac:dyDescent="0.25">
      <c r="A7" s="241" t="s">
        <v>63</v>
      </c>
      <c r="B7" s="246">
        <f t="shared" si="1"/>
        <v>5285.2347349547108</v>
      </c>
      <c r="C7" s="243">
        <f t="shared" si="2"/>
        <v>5285.2347349547108</v>
      </c>
      <c r="D7" s="244">
        <f>E44</f>
        <v>0</v>
      </c>
      <c r="E7" s="688"/>
      <c r="F7" s="188"/>
      <c r="G7" s="597" t="s">
        <v>63</v>
      </c>
      <c r="H7" s="574">
        <f>I7+J7</f>
        <v>5285.2347349547108</v>
      </c>
      <c r="I7" s="253">
        <f>'ANNEXE 1 Grille'!B5*($D$32*74/100)</f>
        <v>4319.2713673036333</v>
      </c>
      <c r="J7" s="647">
        <f t="shared" si="0"/>
        <v>965.96336765107753</v>
      </c>
      <c r="N7" s="188"/>
      <c r="O7" s="188"/>
      <c r="P7" s="188"/>
    </row>
    <row r="8" spans="1:16" x14ac:dyDescent="0.25">
      <c r="A8" s="241" t="s">
        <v>64</v>
      </c>
      <c r="B8" s="246">
        <f t="shared" si="1"/>
        <v>3057.8058797023382</v>
      </c>
      <c r="C8" s="243">
        <f t="shared" si="2"/>
        <v>3057.8058797023382</v>
      </c>
      <c r="D8" s="244">
        <f>H44</f>
        <v>0</v>
      </c>
      <c r="E8" s="688"/>
      <c r="F8" s="188"/>
      <c r="G8" s="597" t="s">
        <v>64</v>
      </c>
      <c r="H8" s="574">
        <f t="shared" si="3"/>
        <v>3057.8058797023382</v>
      </c>
      <c r="I8" s="253">
        <f>'ANNEXE 1 Grille'!B6*($D$32*74/100)</f>
        <v>2091.8425120512607</v>
      </c>
      <c r="J8" s="647">
        <f t="shared" si="0"/>
        <v>965.96336765107753</v>
      </c>
      <c r="N8" s="188"/>
      <c r="O8" s="188"/>
      <c r="P8" s="188"/>
    </row>
    <row r="9" spans="1:16" x14ac:dyDescent="0.25">
      <c r="A9" s="241" t="s">
        <v>65</v>
      </c>
      <c r="B9" s="246">
        <f t="shared" si="1"/>
        <v>0</v>
      </c>
      <c r="C9" s="243">
        <f t="shared" si="2"/>
        <v>0</v>
      </c>
      <c r="D9" s="244"/>
      <c r="E9" s="688"/>
      <c r="F9" s="188"/>
      <c r="G9" s="597" t="s">
        <v>65</v>
      </c>
      <c r="H9" s="574">
        <f t="shared" si="3"/>
        <v>0</v>
      </c>
      <c r="I9" s="253"/>
      <c r="J9" s="647">
        <f t="shared" si="0"/>
        <v>0</v>
      </c>
      <c r="N9" s="188"/>
      <c r="O9" s="188"/>
      <c r="P9" s="188"/>
    </row>
    <row r="10" spans="1:16" x14ac:dyDescent="0.25">
      <c r="A10" s="241" t="s">
        <v>66</v>
      </c>
      <c r="B10" s="246">
        <f t="shared" si="1"/>
        <v>0</v>
      </c>
      <c r="C10" s="243">
        <f t="shared" si="2"/>
        <v>0</v>
      </c>
      <c r="D10" s="244"/>
      <c r="E10" s="688"/>
      <c r="F10" s="188"/>
      <c r="G10" s="597" t="s">
        <v>66</v>
      </c>
      <c r="H10" s="574">
        <f t="shared" si="3"/>
        <v>0</v>
      </c>
      <c r="I10" s="253"/>
      <c r="J10" s="647">
        <f t="shared" si="0"/>
        <v>0</v>
      </c>
      <c r="N10" s="188"/>
      <c r="O10" s="188"/>
      <c r="P10" s="188"/>
    </row>
    <row r="11" spans="1:16" x14ac:dyDescent="0.25">
      <c r="A11" s="241" t="s">
        <v>67</v>
      </c>
      <c r="B11" s="246">
        <f t="shared" si="1"/>
        <v>0</v>
      </c>
      <c r="C11" s="243">
        <f t="shared" si="2"/>
        <v>0</v>
      </c>
      <c r="D11" s="244"/>
      <c r="E11" s="688"/>
      <c r="F11" s="188"/>
      <c r="G11" s="597" t="s">
        <v>67</v>
      </c>
      <c r="H11" s="574">
        <f t="shared" si="3"/>
        <v>0</v>
      </c>
      <c r="I11" s="253"/>
      <c r="J11" s="647">
        <f t="shared" si="0"/>
        <v>0</v>
      </c>
      <c r="N11" s="188"/>
      <c r="O11" s="188"/>
      <c r="P11" s="188"/>
    </row>
    <row r="12" spans="1:16" x14ac:dyDescent="0.25">
      <c r="A12" s="241" t="s">
        <v>68</v>
      </c>
      <c r="B12" s="246">
        <f t="shared" si="1"/>
        <v>5047.6645403478205</v>
      </c>
      <c r="C12" s="243">
        <f t="shared" si="2"/>
        <v>5047.6645403478205</v>
      </c>
      <c r="D12" s="244">
        <f>F44</f>
        <v>0</v>
      </c>
      <c r="E12" s="688"/>
      <c r="F12" s="188"/>
      <c r="G12" s="597" t="s">
        <v>68</v>
      </c>
      <c r="H12" s="574">
        <f t="shared" si="3"/>
        <v>5047.6645403478205</v>
      </c>
      <c r="I12" s="253">
        <f>'ANNEXE 1 Grille'!B10*($D$32*74/100)</f>
        <v>4081.701172696743</v>
      </c>
      <c r="J12" s="647">
        <f t="shared" si="0"/>
        <v>965.96336765107753</v>
      </c>
      <c r="N12" s="188"/>
      <c r="O12" s="188"/>
      <c r="P12" s="188"/>
    </row>
    <row r="13" spans="1:16" x14ac:dyDescent="0.25">
      <c r="A13" s="241" t="s">
        <v>69</v>
      </c>
      <c r="B13" s="246">
        <f t="shared" si="1"/>
        <v>3079.0283902562674</v>
      </c>
      <c r="C13" s="243">
        <f t="shared" si="2"/>
        <v>3079.0283902562674</v>
      </c>
      <c r="D13" s="244">
        <f>G44</f>
        <v>0</v>
      </c>
      <c r="E13" s="688"/>
      <c r="F13" s="188"/>
      <c r="G13" s="597" t="s">
        <v>69</v>
      </c>
      <c r="H13" s="574">
        <f t="shared" si="3"/>
        <v>3079.0283902562674</v>
      </c>
      <c r="I13" s="253">
        <f>'ANNEXE 1 Grille'!B11*($D$32*74/100)</f>
        <v>2113.0650226051898</v>
      </c>
      <c r="J13" s="647">
        <f t="shared" si="0"/>
        <v>965.96336765107753</v>
      </c>
      <c r="N13" s="188"/>
      <c r="O13" s="188"/>
      <c r="P13" s="188"/>
    </row>
    <row r="14" spans="1:16" x14ac:dyDescent="0.25">
      <c r="A14" s="241" t="s">
        <v>70</v>
      </c>
      <c r="B14" s="246">
        <f t="shared" si="1"/>
        <v>2832.7713012058894</v>
      </c>
      <c r="C14" s="243">
        <f t="shared" si="2"/>
        <v>2832.7713012058894</v>
      </c>
      <c r="D14" s="244">
        <f>J44</f>
        <v>0</v>
      </c>
      <c r="E14" s="688"/>
      <c r="F14" s="188"/>
      <c r="G14" s="597" t="s">
        <v>70</v>
      </c>
      <c r="H14" s="574">
        <f t="shared" si="3"/>
        <v>2832.7713012058894</v>
      </c>
      <c r="I14" s="253">
        <f>'ANNEXE 1 Grille'!B12*($D$32*74/100)</f>
        <v>1866.8079335548121</v>
      </c>
      <c r="J14" s="647">
        <f t="shared" si="0"/>
        <v>965.96336765107753</v>
      </c>
      <c r="N14" s="188"/>
      <c r="O14" s="188"/>
      <c r="P14" s="188"/>
    </row>
    <row r="15" spans="1:16" x14ac:dyDescent="0.25">
      <c r="A15" s="241" t="s">
        <v>71</v>
      </c>
      <c r="B15" s="246">
        <f t="shared" si="1"/>
        <v>0</v>
      </c>
      <c r="C15" s="243">
        <f t="shared" si="2"/>
        <v>0</v>
      </c>
      <c r="D15" s="244"/>
      <c r="E15" s="688"/>
      <c r="F15" s="188"/>
      <c r="G15" s="597" t="s">
        <v>71</v>
      </c>
      <c r="H15" s="574">
        <f t="shared" si="3"/>
        <v>0</v>
      </c>
      <c r="I15" s="253"/>
      <c r="J15" s="647">
        <f t="shared" si="0"/>
        <v>0</v>
      </c>
      <c r="N15" s="188"/>
      <c r="O15" s="188"/>
      <c r="P15" s="188"/>
    </row>
    <row r="16" spans="1:16" x14ac:dyDescent="0.25">
      <c r="A16" s="241" t="s">
        <v>72</v>
      </c>
      <c r="B16" s="246">
        <f t="shared" si="1"/>
        <v>0</v>
      </c>
      <c r="C16" s="243">
        <f t="shared" si="2"/>
        <v>0</v>
      </c>
      <c r="D16" s="244"/>
      <c r="E16" s="688"/>
      <c r="F16" s="188"/>
      <c r="G16" s="597" t="s">
        <v>72</v>
      </c>
      <c r="H16" s="574">
        <f t="shared" si="3"/>
        <v>0</v>
      </c>
      <c r="I16" s="253"/>
      <c r="J16" s="647">
        <f t="shared" si="0"/>
        <v>0</v>
      </c>
      <c r="N16" s="188"/>
      <c r="O16" s="188"/>
      <c r="P16" s="188"/>
    </row>
    <row r="17" spans="1:16" x14ac:dyDescent="0.25">
      <c r="A17" s="241" t="s">
        <v>73</v>
      </c>
      <c r="B17" s="246">
        <f t="shared" si="1"/>
        <v>3294.5487660705471</v>
      </c>
      <c r="C17" s="243">
        <f t="shared" si="2"/>
        <v>3294.5487660705471</v>
      </c>
      <c r="D17" s="244">
        <f>L44</f>
        <v>0</v>
      </c>
      <c r="E17" s="688"/>
      <c r="F17" s="188"/>
      <c r="G17" s="597" t="s">
        <v>73</v>
      </c>
      <c r="H17" s="574">
        <f t="shared" si="3"/>
        <v>3294.5487660705471</v>
      </c>
      <c r="I17" s="253">
        <f>'ANNEXE 1 Grille'!B15*($D$32*74/100)</f>
        <v>2328.5853984194696</v>
      </c>
      <c r="J17" s="647">
        <f t="shared" si="0"/>
        <v>965.96336765107753</v>
      </c>
      <c r="N17" s="188"/>
      <c r="O17" s="188"/>
      <c r="P17" s="188"/>
    </row>
    <row r="18" spans="1:16" x14ac:dyDescent="0.25">
      <c r="A18" s="241" t="s">
        <v>74</v>
      </c>
      <c r="B18" s="246">
        <f t="shared" si="1"/>
        <v>0</v>
      </c>
      <c r="C18" s="243">
        <f t="shared" si="2"/>
        <v>0</v>
      </c>
      <c r="D18" s="244"/>
      <c r="E18" s="688"/>
      <c r="F18" s="188"/>
      <c r="G18" s="597" t="s">
        <v>74</v>
      </c>
      <c r="H18" s="574">
        <f t="shared" si="3"/>
        <v>0</v>
      </c>
      <c r="I18" s="253"/>
      <c r="J18" s="647">
        <f t="shared" si="0"/>
        <v>0</v>
      </c>
      <c r="N18" s="188"/>
      <c r="O18" s="188"/>
      <c r="P18" s="188"/>
    </row>
    <row r="19" spans="1:16" x14ac:dyDescent="0.25">
      <c r="A19" s="241" t="s">
        <v>75</v>
      </c>
      <c r="B19" s="246">
        <f t="shared" si="1"/>
        <v>0</v>
      </c>
      <c r="C19" s="243">
        <f t="shared" si="2"/>
        <v>0</v>
      </c>
      <c r="D19" s="244"/>
      <c r="E19" s="688"/>
      <c r="F19" s="188"/>
      <c r="G19" s="597" t="s">
        <v>75</v>
      </c>
      <c r="H19" s="574">
        <f t="shared" si="3"/>
        <v>0</v>
      </c>
      <c r="I19" s="253"/>
      <c r="J19" s="647">
        <f t="shared" si="0"/>
        <v>0</v>
      </c>
      <c r="N19" s="188"/>
      <c r="O19" s="188"/>
      <c r="P19" s="188"/>
    </row>
    <row r="20" spans="1:16" ht="30" x14ac:dyDescent="0.25">
      <c r="A20" s="241" t="s">
        <v>76</v>
      </c>
      <c r="B20" s="246">
        <f t="shared" si="1"/>
        <v>0</v>
      </c>
      <c r="C20" s="243">
        <f t="shared" si="2"/>
        <v>0</v>
      </c>
      <c r="D20" s="244"/>
      <c r="E20" s="688"/>
      <c r="F20" s="188"/>
      <c r="G20" s="597" t="s">
        <v>76</v>
      </c>
      <c r="H20" s="574">
        <f t="shared" si="3"/>
        <v>0</v>
      </c>
      <c r="I20" s="253"/>
      <c r="J20" s="647">
        <f t="shared" si="0"/>
        <v>0</v>
      </c>
      <c r="N20" s="188"/>
      <c r="O20" s="188"/>
      <c r="P20" s="188"/>
    </row>
    <row r="21" spans="1:16" x14ac:dyDescent="0.25">
      <c r="A21" s="241" t="s">
        <v>77</v>
      </c>
      <c r="B21" s="246">
        <f t="shared" si="1"/>
        <v>0</v>
      </c>
      <c r="C21" s="243">
        <f t="shared" si="2"/>
        <v>0</v>
      </c>
      <c r="D21" s="244"/>
      <c r="E21" s="688"/>
      <c r="F21" s="188"/>
      <c r="G21" s="597" t="s">
        <v>77</v>
      </c>
      <c r="H21" s="574">
        <f t="shared" si="3"/>
        <v>0</v>
      </c>
      <c r="I21" s="253"/>
      <c r="J21" s="647">
        <f t="shared" si="0"/>
        <v>0</v>
      </c>
      <c r="N21" s="188"/>
      <c r="O21" s="188"/>
      <c r="P21" s="188"/>
    </row>
    <row r="22" spans="1:16" x14ac:dyDescent="0.25">
      <c r="A22" s="241" t="s">
        <v>78</v>
      </c>
      <c r="B22" s="246">
        <f t="shared" si="1"/>
        <v>4013.1641433411628</v>
      </c>
      <c r="C22" s="243">
        <f t="shared" si="2"/>
        <v>4013.1641433411628</v>
      </c>
      <c r="D22" s="244">
        <f>K44</f>
        <v>0</v>
      </c>
      <c r="E22" s="688"/>
      <c r="F22" s="188"/>
      <c r="G22" s="597" t="s">
        <v>78</v>
      </c>
      <c r="H22" s="574">
        <f t="shared" si="3"/>
        <v>4013.1641433411628</v>
      </c>
      <c r="I22" s="253">
        <f>'ANNEXE 1 Grille'!B20*($D$32*74/100)</f>
        <v>3047.2007756900853</v>
      </c>
      <c r="J22" s="647">
        <f t="shared" si="0"/>
        <v>965.96336765107753</v>
      </c>
      <c r="N22" s="188"/>
      <c r="O22" s="188"/>
      <c r="P22" s="188"/>
    </row>
    <row r="23" spans="1:16" x14ac:dyDescent="0.25">
      <c r="A23" s="241" t="s">
        <v>79</v>
      </c>
      <c r="B23" s="246">
        <f t="shared" si="1"/>
        <v>0</v>
      </c>
      <c r="C23" s="243"/>
      <c r="D23" s="244"/>
      <c r="E23" s="688"/>
      <c r="F23" s="188"/>
      <c r="G23" s="601" t="s">
        <v>79</v>
      </c>
      <c r="H23" s="600">
        <f t="shared" si="3"/>
        <v>0</v>
      </c>
      <c r="I23" s="643"/>
      <c r="J23" s="648">
        <f t="shared" si="0"/>
        <v>0</v>
      </c>
      <c r="N23" s="188"/>
      <c r="O23" s="188"/>
      <c r="P23" s="188"/>
    </row>
    <row r="24" spans="1:16" x14ac:dyDescent="0.25">
      <c r="A24" s="241" t="s">
        <v>80</v>
      </c>
      <c r="B24" s="246">
        <f t="shared" si="1"/>
        <v>0</v>
      </c>
      <c r="C24" s="243"/>
      <c r="D24" s="244"/>
      <c r="E24" s="780"/>
      <c r="F24" s="188"/>
      <c r="G24" s="597" t="s">
        <v>80</v>
      </c>
      <c r="H24" s="574">
        <f t="shared" si="3"/>
        <v>0</v>
      </c>
      <c r="I24" s="253"/>
      <c r="J24" s="647">
        <f t="shared" si="0"/>
        <v>0</v>
      </c>
      <c r="N24" s="188"/>
      <c r="O24" s="188"/>
      <c r="P24" s="188"/>
    </row>
    <row r="25" spans="1:16" x14ac:dyDescent="0.25">
      <c r="A25" s="620" t="s">
        <v>188</v>
      </c>
      <c r="B25" s="650">
        <f t="shared" si="1"/>
        <v>10113.366058532878</v>
      </c>
      <c r="C25" s="622">
        <f>D32*26/100</f>
        <v>10113.366058532878</v>
      </c>
      <c r="D25" s="623"/>
      <c r="E25" s="688"/>
      <c r="F25" s="188"/>
      <c r="G25" s="641" t="s">
        <v>188</v>
      </c>
      <c r="H25" s="642"/>
      <c r="I25" s="644"/>
      <c r="J25" s="649"/>
      <c r="N25" s="188"/>
      <c r="O25" s="188"/>
      <c r="P25" s="188"/>
    </row>
    <row r="26" spans="1:16" x14ac:dyDescent="0.25">
      <c r="A26" s="241"/>
      <c r="B26" s="246"/>
      <c r="C26" s="243"/>
      <c r="D26" s="329"/>
      <c r="E26" s="688"/>
      <c r="F26" s="188"/>
      <c r="G26" s="588" t="s">
        <v>239</v>
      </c>
      <c r="H26" s="588">
        <f>SUM(H4:H25)</f>
        <v>28784.195705055106</v>
      </c>
      <c r="I26" s="588">
        <f>D32*74/100-SUM(I4:I24)</f>
        <v>7727.7069412086203</v>
      </c>
      <c r="J26" s="328">
        <f>SUM(J4:J25)</f>
        <v>7727.7069412086203</v>
      </c>
      <c r="N26" s="188"/>
      <c r="O26" s="188"/>
      <c r="P26" s="188"/>
    </row>
    <row r="27" spans="1:16" s="264" customFormat="1" ht="30" x14ac:dyDescent="0.25">
      <c r="A27" s="491" t="s">
        <v>239</v>
      </c>
      <c r="B27" s="638">
        <f>C27+D27</f>
        <v>38897.561763587983</v>
      </c>
      <c r="C27" s="639">
        <f>SUM(C4:C25)</f>
        <v>38897.561763587983</v>
      </c>
      <c r="D27" s="639">
        <f>D4+D7+D8+D12+D13+D14+D22</f>
        <v>0</v>
      </c>
      <c r="G27" s="640" t="s">
        <v>240</v>
      </c>
      <c r="H27" s="592">
        <f>D32*74/100-H26</f>
        <v>0</v>
      </c>
    </row>
    <row r="28" spans="1:16" ht="30" x14ac:dyDescent="0.25">
      <c r="A28" s="637" t="s">
        <v>301</v>
      </c>
      <c r="B28" s="635">
        <f>SUM(B4:B25)</f>
        <v>38897.561763587983</v>
      </c>
      <c r="C28" s="636">
        <f>SUM(C4:C25)</f>
        <v>38897.561763587983</v>
      </c>
      <c r="D28" s="636">
        <f>SUM(D4:D25)</f>
        <v>0</v>
      </c>
      <c r="E28" s="188"/>
      <c r="F28" s="188"/>
      <c r="I28" s="593"/>
      <c r="N28" s="188"/>
      <c r="O28" s="188"/>
      <c r="P28" s="188"/>
    </row>
    <row r="29" spans="1:16" s="331" customFormat="1" x14ac:dyDescent="0.25">
      <c r="A29" s="511" t="s">
        <v>240</v>
      </c>
      <c r="B29" s="527">
        <f>SUM(B4:B25)-D32</f>
        <v>0</v>
      </c>
      <c r="C29" s="527"/>
      <c r="D29" s="527"/>
      <c r="E29" s="188"/>
      <c r="F29" s="188"/>
      <c r="G29" s="188"/>
      <c r="H29" s="188"/>
    </row>
    <row r="30" spans="1:16" x14ac:dyDescent="0.25">
      <c r="B30" s="889" t="s">
        <v>302</v>
      </c>
      <c r="C30" s="889"/>
      <c r="D30" s="273">
        <f>SUBTOTAL(3,I4:I24)</f>
        <v>8</v>
      </c>
      <c r="E30" s="188"/>
      <c r="F30" s="188"/>
      <c r="G30" s="188"/>
      <c r="N30" s="188"/>
      <c r="O30" s="188"/>
      <c r="P30" s="188"/>
    </row>
    <row r="31" spans="1:16" ht="45" x14ac:dyDescent="0.25">
      <c r="B31" s="539" t="s">
        <v>242</v>
      </c>
      <c r="C31" s="332"/>
      <c r="D31" s="333"/>
      <c r="E31" s="188"/>
      <c r="F31" s="188"/>
      <c r="G31" s="188"/>
      <c r="N31" s="188"/>
      <c r="O31" s="188"/>
      <c r="P31" s="188"/>
    </row>
    <row r="32" spans="1:16" ht="17.25" x14ac:dyDescent="0.25">
      <c r="B32" s="632" t="s">
        <v>303</v>
      </c>
      <c r="C32" s="633"/>
      <c r="D32" s="634">
        <f>D34*D36</f>
        <v>38897.56176358799</v>
      </c>
      <c r="E32" s="275"/>
      <c r="F32" s="275" t="s">
        <v>304</v>
      </c>
      <c r="G32" s="188"/>
      <c r="N32" s="188"/>
      <c r="O32" s="188"/>
      <c r="P32" s="188"/>
    </row>
    <row r="33" spans="1:18" x14ac:dyDescent="0.25">
      <c r="B33" s="632" t="s">
        <v>245</v>
      </c>
      <c r="C33" s="633"/>
      <c r="D33" s="634">
        <f>D35*D36</f>
        <v>46677.074116305586</v>
      </c>
      <c r="E33" s="188"/>
      <c r="F33" s="188"/>
      <c r="G33" s="188"/>
      <c r="N33" s="188"/>
      <c r="O33" s="188"/>
      <c r="P33" s="188"/>
    </row>
    <row r="34" spans="1:18" x14ac:dyDescent="0.25">
      <c r="B34" s="632" t="s">
        <v>305</v>
      </c>
      <c r="C34" s="633"/>
      <c r="D34" s="634">
        <v>37255</v>
      </c>
      <c r="E34" s="188"/>
      <c r="F34" s="188"/>
      <c r="G34" s="188"/>
      <c r="N34" s="188"/>
      <c r="O34" s="188"/>
      <c r="P34" s="188"/>
    </row>
    <row r="35" spans="1:18" x14ac:dyDescent="0.25">
      <c r="B35" s="632" t="s">
        <v>247</v>
      </c>
      <c r="C35" s="633"/>
      <c r="D35" s="634">
        <f>D34*1.2</f>
        <v>44706</v>
      </c>
      <c r="E35" s="188"/>
      <c r="F35" s="188"/>
      <c r="G35" s="188"/>
      <c r="N35" s="188"/>
      <c r="O35" s="188"/>
      <c r="P35" s="188"/>
    </row>
    <row r="36" spans="1:18" ht="30" x14ac:dyDescent="0.25">
      <c r="B36" s="632" t="s">
        <v>248</v>
      </c>
      <c r="C36" s="633"/>
      <c r="D36" s="594">
        <f>2747/2631</f>
        <v>1.0440896997339415</v>
      </c>
      <c r="E36" s="188"/>
      <c r="F36" s="188"/>
      <c r="G36" s="188"/>
      <c r="N36" s="188"/>
      <c r="O36" s="188"/>
      <c r="P36" s="188"/>
    </row>
    <row r="37" spans="1:18" x14ac:dyDescent="0.25">
      <c r="B37" s="308"/>
      <c r="C37" s="308"/>
      <c r="D37" s="188"/>
      <c r="E37" s="188"/>
      <c r="F37" s="335"/>
      <c r="G37" s="188"/>
      <c r="N37" s="188"/>
      <c r="O37" s="188"/>
      <c r="P37" s="188"/>
    </row>
    <row r="38" spans="1:18" x14ac:dyDescent="0.25">
      <c r="B38" s="856" t="s">
        <v>249</v>
      </c>
      <c r="C38" s="856"/>
      <c r="D38" s="856"/>
      <c r="E38" s="188"/>
      <c r="F38" s="188"/>
      <c r="G38" s="188"/>
      <c r="N38" s="188"/>
      <c r="O38" s="188"/>
      <c r="P38" s="188"/>
    </row>
    <row r="39" spans="1:18" x14ac:dyDescent="0.25">
      <c r="B39" s="336" t="s">
        <v>306</v>
      </c>
      <c r="C39" s="337"/>
      <c r="D39" s="338">
        <v>6000</v>
      </c>
      <c r="E39" s="188"/>
      <c r="F39" s="188"/>
      <c r="G39" s="188"/>
      <c r="N39" s="188"/>
      <c r="O39" s="188"/>
      <c r="P39" s="188"/>
    </row>
    <row r="40" spans="1:18" x14ac:dyDescent="0.25">
      <c r="B40" s="336" t="s">
        <v>307</v>
      </c>
      <c r="C40" s="337"/>
      <c r="D40" s="339"/>
      <c r="E40" s="188"/>
      <c r="F40" s="188"/>
      <c r="G40" s="188"/>
      <c r="N40" s="188"/>
      <c r="O40" s="188"/>
      <c r="P40" s="188"/>
    </row>
    <row r="41" spans="1:18" x14ac:dyDescent="0.25">
      <c r="D41" s="188"/>
      <c r="E41" s="188"/>
      <c r="F41" s="188"/>
      <c r="G41" s="188"/>
      <c r="N41" s="188"/>
      <c r="O41" s="188"/>
      <c r="P41" s="188"/>
    </row>
    <row r="42" spans="1:18" x14ac:dyDescent="0.25">
      <c r="A42" s="277" t="s">
        <v>308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N42" s="188"/>
      <c r="O42" s="188"/>
      <c r="P42" s="188"/>
      <c r="R42" s="340"/>
    </row>
    <row r="43" spans="1:18" ht="29.1" customHeight="1" x14ac:dyDescent="0.25">
      <c r="A43" s="883">
        <v>2021</v>
      </c>
      <c r="B43" s="883"/>
      <c r="C43" s="884"/>
      <c r="D43" s="342" t="s">
        <v>43</v>
      </c>
      <c r="E43" s="343" t="s">
        <v>63</v>
      </c>
      <c r="F43" s="343" t="s">
        <v>68</v>
      </c>
      <c r="G43" s="343" t="s">
        <v>69</v>
      </c>
      <c r="H43" s="343" t="s">
        <v>64</v>
      </c>
      <c r="I43" s="299" t="s">
        <v>60</v>
      </c>
      <c r="J43" s="299" t="s">
        <v>70</v>
      </c>
      <c r="K43" s="299" t="s">
        <v>69</v>
      </c>
      <c r="L43" s="299" t="s">
        <v>73</v>
      </c>
      <c r="N43" s="188"/>
      <c r="O43" s="188"/>
      <c r="P43" s="188"/>
      <c r="R43" s="340"/>
    </row>
    <row r="44" spans="1:18" x14ac:dyDescent="0.25">
      <c r="A44" s="880" t="s">
        <v>257</v>
      </c>
      <c r="B44" s="881"/>
      <c r="C44" s="882"/>
      <c r="D44" s="344">
        <f>SUM(E44:L44)</f>
        <v>0</v>
      </c>
      <c r="E44" s="345">
        <f>SUM(E45:E46)</f>
        <v>0</v>
      </c>
      <c r="F44" s="345">
        <f>SUM(F45:F46)</f>
        <v>0</v>
      </c>
      <c r="G44" s="345">
        <f>SUM(G45:G46)</f>
        <v>0</v>
      </c>
      <c r="H44" s="345">
        <f>SUM(H45:H46)</f>
        <v>0</v>
      </c>
      <c r="I44" s="288">
        <f>I45+I46</f>
        <v>0</v>
      </c>
      <c r="J44" s="288">
        <f>SUM(J45:J46)</f>
        <v>0</v>
      </c>
      <c r="K44" s="288">
        <v>0</v>
      </c>
      <c r="L44" s="288">
        <f>L46</f>
        <v>0</v>
      </c>
      <c r="M44" s="340"/>
      <c r="N44" s="341"/>
      <c r="O44" s="341"/>
      <c r="P44" s="341"/>
    </row>
    <row r="45" spans="1:18" ht="14.45" customHeight="1" x14ac:dyDescent="0.25">
      <c r="A45" s="880" t="s">
        <v>309</v>
      </c>
      <c r="B45" s="881"/>
      <c r="C45" s="882"/>
      <c r="D45" s="303"/>
      <c r="E45" s="232"/>
      <c r="F45" s="232"/>
      <c r="G45" s="232"/>
      <c r="H45" s="232"/>
      <c r="I45" s="232"/>
      <c r="J45" s="232"/>
      <c r="K45" s="232"/>
      <c r="L45" s="232"/>
      <c r="M45" s="340"/>
      <c r="N45" s="341"/>
      <c r="O45" s="341"/>
      <c r="P45" s="341"/>
    </row>
    <row r="46" spans="1:18" x14ac:dyDescent="0.25">
      <c r="A46" s="880" t="s">
        <v>310</v>
      </c>
      <c r="B46" s="881"/>
      <c r="C46" s="882"/>
      <c r="D46" s="303">
        <f t="shared" ref="D46:K46" si="4">E66</f>
        <v>0</v>
      </c>
      <c r="E46" s="303">
        <f t="shared" si="4"/>
        <v>0</v>
      </c>
      <c r="F46" s="303">
        <f t="shared" si="4"/>
        <v>0</v>
      </c>
      <c r="G46" s="303">
        <f t="shared" si="4"/>
        <v>0</v>
      </c>
      <c r="H46" s="303">
        <f t="shared" si="4"/>
        <v>0</v>
      </c>
      <c r="I46" s="303">
        <f t="shared" si="4"/>
        <v>0</v>
      </c>
      <c r="J46" s="303">
        <f t="shared" si="4"/>
        <v>0</v>
      </c>
      <c r="K46" s="303">
        <f t="shared" si="4"/>
        <v>0</v>
      </c>
      <c r="L46" s="303"/>
      <c r="N46" s="188"/>
      <c r="O46" s="188"/>
      <c r="P46" s="188"/>
    </row>
    <row r="47" spans="1:18" x14ac:dyDescent="0.25">
      <c r="A47" s="290"/>
      <c r="B47" s="291"/>
      <c r="C47" s="292"/>
      <c r="D47" s="346">
        <f>SUM(D45:D46)</f>
        <v>0</v>
      </c>
      <c r="E47" s="347"/>
      <c r="F47" s="347"/>
      <c r="G47" s="347"/>
      <c r="H47" s="347"/>
      <c r="I47" s="292"/>
      <c r="J47" s="292"/>
      <c r="N47" s="188"/>
      <c r="O47" s="188"/>
      <c r="P47" s="188"/>
    </row>
    <row r="48" spans="1:18" x14ac:dyDescent="0.25">
      <c r="A48" s="290"/>
      <c r="B48" s="291"/>
      <c r="C48" s="292"/>
      <c r="D48" s="347"/>
      <c r="E48" s="347"/>
      <c r="F48" s="347"/>
      <c r="G48" s="347"/>
      <c r="H48" s="292"/>
      <c r="I48" s="292"/>
      <c r="J48" s="292"/>
      <c r="N48" s="188"/>
      <c r="O48" s="188"/>
      <c r="P48" s="188"/>
    </row>
    <row r="49" spans="1:16" x14ac:dyDescent="0.25">
      <c r="A49" s="295" t="s">
        <v>311</v>
      </c>
      <c r="B49" s="295"/>
      <c r="C49" s="295"/>
      <c r="D49" s="278"/>
      <c r="E49" s="278"/>
      <c r="F49" s="278"/>
      <c r="G49" s="278"/>
      <c r="H49" s="278"/>
      <c r="I49" s="295"/>
      <c r="J49" s="295"/>
      <c r="K49" s="295"/>
      <c r="L49" s="278"/>
      <c r="N49" s="188"/>
      <c r="O49" s="188"/>
      <c r="P49" s="188"/>
    </row>
    <row r="50" spans="1:16" ht="39" x14ac:dyDescent="0.25">
      <c r="A50" s="312" t="s">
        <v>312</v>
      </c>
      <c r="B50" s="348" t="s">
        <v>262</v>
      </c>
      <c r="C50" s="348" t="s">
        <v>263</v>
      </c>
      <c r="D50" s="299" t="s">
        <v>43</v>
      </c>
      <c r="E50" s="343" t="s">
        <v>63</v>
      </c>
      <c r="F50" s="343" t="s">
        <v>68</v>
      </c>
      <c r="G50" s="343" t="s">
        <v>69</v>
      </c>
      <c r="H50" s="343" t="s">
        <v>64</v>
      </c>
      <c r="I50" s="299" t="s">
        <v>60</v>
      </c>
      <c r="J50" s="299" t="s">
        <v>70</v>
      </c>
      <c r="K50" s="299" t="s">
        <v>256</v>
      </c>
      <c r="L50" s="299" t="s">
        <v>73</v>
      </c>
      <c r="N50" s="188"/>
      <c r="O50" s="188"/>
      <c r="P50" s="188"/>
    </row>
    <row r="51" spans="1:16" x14ac:dyDescent="0.25">
      <c r="A51" s="312">
        <v>2021</v>
      </c>
      <c r="B51" s="628"/>
      <c r="C51" s="629"/>
      <c r="D51" s="630"/>
      <c r="E51" s="630"/>
      <c r="F51" s="630"/>
      <c r="G51" s="630"/>
      <c r="H51" s="630"/>
      <c r="I51" s="630"/>
      <c r="J51" s="630"/>
      <c r="K51" s="630"/>
      <c r="L51" s="631"/>
      <c r="N51" s="188"/>
      <c r="O51" s="188"/>
      <c r="P51" s="188"/>
    </row>
    <row r="52" spans="1:16" x14ac:dyDescent="0.25">
      <c r="A52" s="312">
        <v>2020</v>
      </c>
      <c r="B52" s="628"/>
      <c r="C52" s="629"/>
      <c r="D52" s="630"/>
      <c r="E52" s="630"/>
      <c r="F52" s="630"/>
      <c r="G52" s="630"/>
      <c r="H52" s="630"/>
      <c r="I52" s="630"/>
      <c r="J52" s="630"/>
      <c r="K52" s="630"/>
      <c r="L52" s="631"/>
      <c r="N52" s="188"/>
      <c r="O52" s="188"/>
      <c r="P52" s="188"/>
    </row>
    <row r="53" spans="1:16" ht="15" customHeight="1" x14ac:dyDescent="0.25">
      <c r="A53" s="312">
        <v>2019</v>
      </c>
      <c r="B53" s="865" t="s">
        <v>313</v>
      </c>
      <c r="C53" s="866"/>
      <c r="D53" s="866"/>
      <c r="E53" s="866"/>
      <c r="F53" s="866"/>
      <c r="G53" s="866"/>
      <c r="H53" s="866"/>
      <c r="I53" s="866"/>
      <c r="J53" s="866"/>
      <c r="K53" s="866"/>
      <c r="L53" s="867"/>
      <c r="N53" s="188"/>
      <c r="O53" s="188"/>
      <c r="P53" s="188"/>
    </row>
    <row r="54" spans="1:16" ht="15" customHeight="1" x14ac:dyDescent="0.25">
      <c r="A54" s="312">
        <v>2018</v>
      </c>
      <c r="B54" s="868"/>
      <c r="C54" s="869"/>
      <c r="D54" s="869"/>
      <c r="E54" s="869"/>
      <c r="F54" s="869"/>
      <c r="G54" s="869"/>
      <c r="H54" s="869"/>
      <c r="I54" s="869"/>
      <c r="J54" s="869"/>
      <c r="K54" s="869"/>
      <c r="L54" s="870"/>
      <c r="N54" s="188"/>
      <c r="O54" s="188"/>
      <c r="P54" s="188"/>
    </row>
    <row r="55" spans="1:16" x14ac:dyDescent="0.25">
      <c r="A55" s="312">
        <v>2017</v>
      </c>
      <c r="B55" s="349">
        <f>2570/2458</f>
        <v>1.0455655004068349</v>
      </c>
      <c r="C55" s="350">
        <f>B55*C58</f>
        <v>462.13995117982103</v>
      </c>
      <c r="D55" s="351">
        <f>SUM(E55:J55)</f>
        <v>5545.6794141578521</v>
      </c>
      <c r="E55" s="351">
        <f>11*$C55/6+$C55*$E$59</f>
        <v>847.2565771630052</v>
      </c>
      <c r="F55" s="351">
        <f>11*$C55/6+$C55*$F$59</f>
        <v>847.2565771630052</v>
      </c>
      <c r="G55" s="351">
        <f>11*$C55/6+$C55*$G$59</f>
        <v>847.2565771630052</v>
      </c>
      <c r="H55" s="351">
        <f>11*$C55/6+$C55*$H$59</f>
        <v>847.2565771630052</v>
      </c>
      <c r="I55" s="351">
        <f>11*$C55/6+$C55*$I$59</f>
        <v>847.2565771630052</v>
      </c>
      <c r="J55" s="351">
        <f>11*$C55/6+$C55*$J$59</f>
        <v>1309.3965283428263</v>
      </c>
      <c r="K55" s="351">
        <f>11*$C55/6+$C55*$I$59</f>
        <v>847.2565771630052</v>
      </c>
      <c r="L55" s="308"/>
      <c r="M55" s="308"/>
      <c r="O55" s="188"/>
      <c r="P55" s="188"/>
    </row>
    <row r="56" spans="1:16" x14ac:dyDescent="0.25">
      <c r="A56" s="698">
        <v>2016</v>
      </c>
      <c r="B56" s="301">
        <v>1.02685</v>
      </c>
      <c r="C56" s="352">
        <f>B56*C58</f>
        <v>453.86770000000001</v>
      </c>
      <c r="D56" s="353">
        <f>SUM(E56:J56)</f>
        <v>5446.4124000000011</v>
      </c>
      <c r="E56" s="353">
        <f>11*$C56/6+$C56*$E$59</f>
        <v>832.09078333333343</v>
      </c>
      <c r="F56" s="353">
        <f>11*$C56/6+$C56*$F$59</f>
        <v>832.09078333333343</v>
      </c>
      <c r="G56" s="353">
        <f>11*$C56/6+$C56*$G$59</f>
        <v>832.09078333333343</v>
      </c>
      <c r="H56" s="353">
        <f>11*$C56/6+$C56*$H$59</f>
        <v>832.09078333333343</v>
      </c>
      <c r="I56" s="353">
        <f>11*$C56/6+$C56*$I$59</f>
        <v>832.09078333333343</v>
      </c>
      <c r="J56" s="353">
        <f>11*$C56/6+$C56*$J$59</f>
        <v>1285.9584833333333</v>
      </c>
      <c r="K56" s="353">
        <f>11*$C56/6+$C56*$I$59</f>
        <v>832.09078333333343</v>
      </c>
      <c r="N56" s="188"/>
      <c r="O56" s="188"/>
      <c r="P56" s="188"/>
    </row>
    <row r="57" spans="1:16" x14ac:dyDescent="0.25">
      <c r="A57" s="698">
        <v>2015</v>
      </c>
      <c r="B57" s="305">
        <v>0.996</v>
      </c>
      <c r="C57" s="352">
        <f>B57*C58</f>
        <v>440.23199999999997</v>
      </c>
      <c r="D57" s="353">
        <f>SUM(E57:J57)</f>
        <v>5282.7839999999997</v>
      </c>
      <c r="E57" s="353">
        <f>11*$C57/6+$C57*$E$59</f>
        <v>807.09199999999998</v>
      </c>
      <c r="F57" s="353">
        <f>11*$C57/6+$C57*$F$59</f>
        <v>807.09199999999998</v>
      </c>
      <c r="G57" s="353">
        <f>11*$C57/6+$C57*$G$59</f>
        <v>807.09199999999998</v>
      </c>
      <c r="H57" s="353">
        <f>11*$C57/6+$C57*$H$59</f>
        <v>807.09199999999998</v>
      </c>
      <c r="I57" s="353">
        <f>11*$C57/6+$C57*$I$59</f>
        <v>807.09199999999998</v>
      </c>
      <c r="J57" s="353">
        <f>11*$C57/6+$C57*$J$59</f>
        <v>1247.3240000000001</v>
      </c>
      <c r="K57" s="353">
        <f>11*$C57/6+$C57*$I$59</f>
        <v>807.09199999999998</v>
      </c>
      <c r="N57" s="188"/>
      <c r="O57" s="188"/>
      <c r="P57" s="188"/>
    </row>
    <row r="58" spans="1:16" x14ac:dyDescent="0.25">
      <c r="A58" s="698">
        <v>2014</v>
      </c>
      <c r="B58" s="305" t="s">
        <v>185</v>
      </c>
      <c r="C58" s="352">
        <v>442</v>
      </c>
      <c r="D58" s="353">
        <f>SUM(E58:J58)</f>
        <v>5304</v>
      </c>
      <c r="E58" s="353">
        <f>11*$C58/6+$C58*$E$59</f>
        <v>810.33333333333337</v>
      </c>
      <c r="F58" s="353">
        <f>11*$C58/6+$C58*$F$59</f>
        <v>810.33333333333337</v>
      </c>
      <c r="G58" s="353">
        <f>11*$C58/6+$C58*$G$59</f>
        <v>810.33333333333337</v>
      </c>
      <c r="H58" s="353">
        <f>11*$C58/6+$C58*$H$59</f>
        <v>810.33333333333337</v>
      </c>
      <c r="I58" s="353">
        <f>11*$C58/6+$C58*$I$59</f>
        <v>810.33333333333337</v>
      </c>
      <c r="J58" s="353">
        <f>11*$C58/6+$C58*$J$59</f>
        <v>1252.3333333333335</v>
      </c>
      <c r="K58" s="353">
        <f>11*$C58/6+$C58*$I$59</f>
        <v>810.33333333333337</v>
      </c>
      <c r="N58" s="188"/>
      <c r="O58" s="188"/>
      <c r="P58" s="188"/>
    </row>
    <row r="59" spans="1:16" x14ac:dyDescent="0.25">
      <c r="A59" s="698" t="s">
        <v>266</v>
      </c>
      <c r="B59" s="305"/>
      <c r="C59" s="305" t="s">
        <v>314</v>
      </c>
      <c r="D59" s="556"/>
      <c r="E59" s="354">
        <v>0</v>
      </c>
      <c r="F59" s="354">
        <v>0</v>
      </c>
      <c r="G59" s="354">
        <v>0</v>
      </c>
      <c r="H59" s="354">
        <v>0</v>
      </c>
      <c r="I59" s="556">
        <v>0</v>
      </c>
      <c r="J59" s="556">
        <v>1</v>
      </c>
      <c r="K59" s="556">
        <v>0</v>
      </c>
      <c r="N59" s="188"/>
      <c r="O59" s="188"/>
      <c r="P59" s="188"/>
    </row>
    <row r="60" spans="1:16" x14ac:dyDescent="0.25">
      <c r="A60" s="306"/>
      <c r="B60" s="307"/>
      <c r="C60" s="307"/>
      <c r="D60" s="355"/>
      <c r="E60" s="276"/>
      <c r="F60" s="276"/>
      <c r="G60" s="276"/>
      <c r="H60" s="233"/>
      <c r="I60" s="233"/>
      <c r="J60" s="233"/>
      <c r="N60" s="188"/>
      <c r="O60" s="188"/>
      <c r="P60" s="188"/>
    </row>
    <row r="61" spans="1:16" x14ac:dyDescent="0.25">
      <c r="A61" s="310"/>
      <c r="B61" s="311"/>
      <c r="C61" s="310"/>
      <c r="D61" s="356"/>
      <c r="E61" s="356"/>
      <c r="F61" s="356"/>
      <c r="G61" s="357"/>
      <c r="H61" s="358"/>
      <c r="I61" s="233"/>
      <c r="J61" s="233"/>
      <c r="N61" s="188"/>
      <c r="O61" s="188"/>
      <c r="P61" s="188"/>
    </row>
    <row r="62" spans="1:16" x14ac:dyDescent="0.25">
      <c r="A62" s="277" t="s">
        <v>293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N62" s="188"/>
      <c r="O62" s="188"/>
      <c r="P62" s="188"/>
    </row>
    <row r="63" spans="1:16" ht="39" x14ac:dyDescent="0.25">
      <c r="A63" s="312" t="s">
        <v>312</v>
      </c>
      <c r="B63" s="312" t="s">
        <v>262</v>
      </c>
      <c r="C63" s="312" t="s">
        <v>263</v>
      </c>
      <c r="D63" s="299" t="s">
        <v>43</v>
      </c>
      <c r="E63" s="343" t="s">
        <v>63</v>
      </c>
      <c r="F63" s="343" t="s">
        <v>68</v>
      </c>
      <c r="G63" s="343" t="s">
        <v>69</v>
      </c>
      <c r="H63" s="343" t="s">
        <v>64</v>
      </c>
      <c r="I63" s="299" t="s">
        <v>60</v>
      </c>
      <c r="J63" s="299" t="s">
        <v>70</v>
      </c>
      <c r="K63" s="299" t="s">
        <v>256</v>
      </c>
      <c r="L63" s="299" t="s">
        <v>73</v>
      </c>
      <c r="N63" s="188"/>
      <c r="O63" s="188"/>
      <c r="P63" s="188"/>
    </row>
    <row r="64" spans="1:16" x14ac:dyDescent="0.25">
      <c r="A64" s="312">
        <v>2021</v>
      </c>
      <c r="B64" s="301">
        <f>D36</f>
        <v>1.0440896997339415</v>
      </c>
      <c r="C64" s="625"/>
      <c r="D64" s="626">
        <f t="shared" ref="D64:D67" si="5">SUM(E64:L64)</f>
        <v>0</v>
      </c>
      <c r="E64" s="627">
        <v>0</v>
      </c>
      <c r="F64" s="360">
        <v>0</v>
      </c>
      <c r="G64" s="360">
        <v>0</v>
      </c>
      <c r="H64" s="360">
        <v>0</v>
      </c>
      <c r="I64" s="360">
        <v>0</v>
      </c>
      <c r="J64" s="360">
        <v>0</v>
      </c>
      <c r="K64" s="360">
        <v>0</v>
      </c>
      <c r="L64" s="360">
        <v>0</v>
      </c>
      <c r="N64" s="188"/>
      <c r="O64" s="188"/>
      <c r="P64" s="188"/>
    </row>
    <row r="65" spans="1:17" x14ac:dyDescent="0.25">
      <c r="A65" s="312">
        <v>2020</v>
      </c>
      <c r="B65" s="312"/>
      <c r="C65" s="312"/>
      <c r="D65" s="351">
        <f t="shared" si="5"/>
        <v>0</v>
      </c>
      <c r="E65" s="360">
        <v>0</v>
      </c>
      <c r="F65" s="360">
        <v>0</v>
      </c>
      <c r="G65" s="360">
        <v>0</v>
      </c>
      <c r="H65" s="360">
        <v>0</v>
      </c>
      <c r="I65" s="360">
        <v>0</v>
      </c>
      <c r="J65" s="360">
        <v>0</v>
      </c>
      <c r="K65" s="360">
        <v>0</v>
      </c>
      <c r="L65" s="360">
        <v>0</v>
      </c>
      <c r="N65" s="188"/>
      <c r="O65" s="188"/>
      <c r="P65" s="188"/>
    </row>
    <row r="66" spans="1:17" x14ac:dyDescent="0.25">
      <c r="A66" s="312">
        <v>2019</v>
      </c>
      <c r="C66" s="359">
        <f>C67*B64</f>
        <v>1232.0258456860511</v>
      </c>
      <c r="D66" s="351">
        <f t="shared" si="5"/>
        <v>0</v>
      </c>
      <c r="E66" s="360">
        <v>0</v>
      </c>
      <c r="F66" s="360">
        <v>0</v>
      </c>
      <c r="G66" s="360">
        <v>0</v>
      </c>
      <c r="H66" s="360">
        <v>0</v>
      </c>
      <c r="I66" s="360">
        <v>0</v>
      </c>
      <c r="J66" s="360">
        <v>0</v>
      </c>
      <c r="K66" s="361">
        <v>0</v>
      </c>
      <c r="L66" s="361">
        <v>0</v>
      </c>
      <c r="N66" s="188"/>
      <c r="O66" s="188"/>
      <c r="P66" s="188"/>
    </row>
    <row r="67" spans="1:17" x14ac:dyDescent="0.25">
      <c r="A67" s="312">
        <v>2018</v>
      </c>
      <c r="B67" s="312"/>
      <c r="C67" s="362">
        <v>1180</v>
      </c>
      <c r="D67" s="351">
        <f t="shared" si="5"/>
        <v>0</v>
      </c>
      <c r="E67" s="360">
        <v>0</v>
      </c>
      <c r="F67" s="360">
        <v>0</v>
      </c>
      <c r="G67" s="360">
        <v>0</v>
      </c>
      <c r="H67" s="360">
        <v>0</v>
      </c>
      <c r="I67" s="360">
        <v>0</v>
      </c>
      <c r="J67" s="360">
        <v>0</v>
      </c>
      <c r="K67" s="361">
        <v>0</v>
      </c>
      <c r="L67" s="361">
        <v>0</v>
      </c>
      <c r="N67" s="188"/>
      <c r="O67" s="188"/>
      <c r="P67" s="188"/>
    </row>
    <row r="68" spans="1:17" x14ac:dyDescent="0.25">
      <c r="A68" s="312">
        <v>2017</v>
      </c>
      <c r="B68" s="301">
        <f>2570/2458</f>
        <v>1.0455655004068349</v>
      </c>
      <c r="C68" s="303">
        <f>B68*C71</f>
        <v>1182.5345809601304</v>
      </c>
      <c r="D68" s="351">
        <f>SUM(E68:L68)</f>
        <v>1182.5345809601304</v>
      </c>
      <c r="E68" s="363">
        <v>0</v>
      </c>
      <c r="F68" s="363">
        <v>0</v>
      </c>
      <c r="G68" s="363">
        <v>0</v>
      </c>
      <c r="H68" s="363">
        <f>C68/2</f>
        <v>591.26729048006518</v>
      </c>
      <c r="I68" s="303">
        <f>C68/2</f>
        <v>591.26729048006518</v>
      </c>
      <c r="J68" s="303">
        <f>0</f>
        <v>0</v>
      </c>
      <c r="K68" s="361">
        <v>0</v>
      </c>
      <c r="L68" s="361">
        <v>0</v>
      </c>
      <c r="N68" s="188"/>
      <c r="Q68" s="308"/>
    </row>
    <row r="69" spans="1:17" x14ac:dyDescent="0.25">
      <c r="A69" s="698">
        <v>2016</v>
      </c>
      <c r="B69" s="301">
        <v>1.02685</v>
      </c>
      <c r="C69" s="303">
        <f>B69*C71</f>
        <v>1161.36735</v>
      </c>
      <c r="D69" s="351">
        <f t="shared" ref="D69:D71" si="6">SUM(E69:L69)</f>
        <v>1161.36735</v>
      </c>
      <c r="E69" s="363">
        <v>0</v>
      </c>
      <c r="F69" s="363">
        <v>0</v>
      </c>
      <c r="G69" s="363">
        <v>0</v>
      </c>
      <c r="H69" s="363">
        <f>C69/2</f>
        <v>580.68367499999999</v>
      </c>
      <c r="I69" s="303">
        <f>C69/2</f>
        <v>580.68367499999999</v>
      </c>
      <c r="J69" s="303">
        <f>0</f>
        <v>0</v>
      </c>
      <c r="K69" s="361">
        <v>0</v>
      </c>
      <c r="L69" s="361">
        <v>0</v>
      </c>
      <c r="N69" s="188"/>
      <c r="Q69" s="308"/>
    </row>
    <row r="70" spans="1:17" x14ac:dyDescent="0.25">
      <c r="A70" s="698">
        <v>2015</v>
      </c>
      <c r="B70" s="305">
        <v>0.996</v>
      </c>
      <c r="C70" s="303">
        <f>B70*C71</f>
        <v>1126.4759999999999</v>
      </c>
      <c r="D70" s="351">
        <f t="shared" si="6"/>
        <v>0</v>
      </c>
      <c r="E70" s="363">
        <v>0</v>
      </c>
      <c r="F70" s="363">
        <v>0</v>
      </c>
      <c r="G70" s="363">
        <v>0</v>
      </c>
      <c r="H70" s="363">
        <v>0</v>
      </c>
      <c r="I70" s="303">
        <v>0</v>
      </c>
      <c r="J70" s="303">
        <v>0</v>
      </c>
      <c r="K70" s="361">
        <v>0</v>
      </c>
      <c r="L70" s="361">
        <v>0</v>
      </c>
      <c r="N70" s="188"/>
      <c r="Q70" s="308"/>
    </row>
    <row r="71" spans="1:17" x14ac:dyDescent="0.25">
      <c r="A71" s="698">
        <v>2014</v>
      </c>
      <c r="B71" s="305" t="s">
        <v>185</v>
      </c>
      <c r="C71" s="303">
        <v>1131</v>
      </c>
      <c r="D71" s="351">
        <f t="shared" si="6"/>
        <v>0</v>
      </c>
      <c r="E71" s="363">
        <v>0</v>
      </c>
      <c r="F71" s="363">
        <v>0</v>
      </c>
      <c r="G71" s="363">
        <v>0</v>
      </c>
      <c r="H71" s="363">
        <v>0</v>
      </c>
      <c r="I71" s="303">
        <v>0</v>
      </c>
      <c r="J71" s="303">
        <v>0</v>
      </c>
      <c r="K71" s="361">
        <v>0</v>
      </c>
      <c r="L71" s="361">
        <v>0</v>
      </c>
      <c r="N71" s="188"/>
      <c r="Q71" s="308"/>
    </row>
    <row r="72" spans="1:17" x14ac:dyDescent="0.25">
      <c r="A72" s="306"/>
      <c r="B72" s="307"/>
      <c r="C72" s="307"/>
      <c r="D72" s="355"/>
      <c r="E72" s="276"/>
      <c r="F72" s="276"/>
      <c r="G72" s="276"/>
      <c r="H72" s="233"/>
      <c r="I72" s="233"/>
      <c r="J72" s="233"/>
    </row>
    <row r="73" spans="1:17" x14ac:dyDescent="0.25">
      <c r="A73" s="699" t="s">
        <v>315</v>
      </c>
      <c r="B73" s="699"/>
      <c r="C73" s="699"/>
      <c r="D73" s="699"/>
      <c r="E73" s="188"/>
      <c r="F73" s="276"/>
      <c r="G73" s="276"/>
      <c r="H73" s="233"/>
      <c r="I73" s="233"/>
      <c r="J73" s="233"/>
    </row>
    <row r="74" spans="1:17" ht="14.45" customHeight="1" x14ac:dyDescent="0.25">
      <c r="A74" s="296" t="s">
        <v>261</v>
      </c>
      <c r="B74" s="874" t="s">
        <v>68</v>
      </c>
      <c r="C74" s="875"/>
      <c r="D74" s="875"/>
      <c r="E74" s="875"/>
      <c r="F74" s="876"/>
      <c r="G74" s="276"/>
      <c r="H74" s="233"/>
      <c r="I74" s="233"/>
      <c r="J74" s="233"/>
    </row>
    <row r="75" spans="1:17" x14ac:dyDescent="0.25">
      <c r="A75" s="309" t="s">
        <v>270</v>
      </c>
      <c r="B75" s="877" t="s">
        <v>316</v>
      </c>
      <c r="C75" s="878"/>
      <c r="D75" s="878"/>
      <c r="E75" s="878"/>
      <c r="F75" s="879"/>
      <c r="G75" s="276"/>
      <c r="H75" s="233"/>
      <c r="I75" s="233"/>
      <c r="J75" s="233"/>
    </row>
    <row r="76" spans="1:17" x14ac:dyDescent="0.25">
      <c r="A76" s="309" t="s">
        <v>292</v>
      </c>
      <c r="B76" s="871">
        <v>1</v>
      </c>
      <c r="C76" s="872"/>
      <c r="D76" s="872"/>
      <c r="E76" s="872"/>
      <c r="F76" s="873"/>
      <c r="G76" s="276"/>
      <c r="H76" s="233"/>
      <c r="I76" s="233"/>
      <c r="J76" s="233"/>
    </row>
    <row r="80" spans="1:17" x14ac:dyDescent="0.25">
      <c r="A80" s="188" t="s">
        <v>317</v>
      </c>
    </row>
  </sheetData>
  <mergeCells count="15">
    <mergeCell ref="A44:C44"/>
    <mergeCell ref="A43:C43"/>
    <mergeCell ref="G2:J2"/>
    <mergeCell ref="G1:J1"/>
    <mergeCell ref="B38:D38"/>
    <mergeCell ref="A1:A3"/>
    <mergeCell ref="B1:D1"/>
    <mergeCell ref="B2:D2"/>
    <mergeCell ref="B30:C30"/>
    <mergeCell ref="B53:L54"/>
    <mergeCell ref="B76:F76"/>
    <mergeCell ref="B74:F74"/>
    <mergeCell ref="B75:F75"/>
    <mergeCell ref="A45:C45"/>
    <mergeCell ref="A46:C4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BUDGET ETUDES CNIV</vt:lpstr>
      <vt:lpstr>Facturation Cniv</vt:lpstr>
      <vt:lpstr>COUT PAR IP DES OUTILS</vt:lpstr>
      <vt:lpstr>MONOPOLES</vt:lpstr>
      <vt:lpstr>PANELS IRI</vt:lpstr>
      <vt:lpstr>Monographies vin</vt:lpstr>
      <vt:lpstr>Feuil1</vt:lpstr>
      <vt:lpstr>IRI FR VT</vt:lpstr>
      <vt:lpstr>IRI FR EFF</vt:lpstr>
      <vt:lpstr>KANTAR</vt:lpstr>
      <vt:lpstr>PANEL CHR FRANCE</vt:lpstr>
      <vt:lpstr>RO Cavistes</vt:lpstr>
      <vt:lpstr>IRI UK</vt:lpstr>
      <vt:lpstr>IRI ALL</vt:lpstr>
      <vt:lpstr>IRI PB</vt:lpstr>
      <vt:lpstr>GfK</vt:lpstr>
      <vt:lpstr>GTI</vt:lpstr>
      <vt:lpstr>DETAIL MONOPOLES</vt:lpstr>
      <vt:lpstr>WINE INTELLIGENCE</vt:lpstr>
      <vt:lpstr>ANNEXE 1 Grille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Visiteur</dc:creator>
  <cp:keywords/>
  <dc:description/>
  <cp:lastModifiedBy>Nine Brousse</cp:lastModifiedBy>
  <cp:revision>4</cp:revision>
  <dcterms:created xsi:type="dcterms:W3CDTF">2013-12-03T09:49:05Z</dcterms:created>
  <dcterms:modified xsi:type="dcterms:W3CDTF">2021-06-17T14:17:12Z</dcterms:modified>
  <cp:category/>
  <cp:contentStatus/>
</cp:coreProperties>
</file>