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DOSSIER ECONOMIE\1_BUDGET ECONOMIE\2020\"/>
    </mc:Choice>
  </mc:AlternateContent>
  <bookViews>
    <workbookView xWindow="0" yWindow="0" windowWidth="19200" windowHeight="6225" tabRatio="657"/>
  </bookViews>
  <sheets>
    <sheet name="BUDGET ETUDES CNIV" sheetId="1" r:id="rId1"/>
    <sheet name="COUT PAR IP DES OUTILS" sheetId="2" r:id="rId2"/>
    <sheet name="MONOPOLES" sheetId="4" state="hidden" r:id="rId3"/>
    <sheet name="PANELS IRI" sheetId="5" state="hidden" r:id="rId4"/>
    <sheet name="Monographies vin" sheetId="6" state="hidden" r:id="rId5"/>
    <sheet name="Feuil1" sheetId="7" state="hidden" r:id="rId6"/>
    <sheet name="IRI FR VT" sheetId="9" r:id="rId7"/>
    <sheet name="IRI FR EFF" sheetId="10" r:id="rId8"/>
    <sheet name="IRI UK" sheetId="11" r:id="rId9"/>
    <sheet name="IRI ALL" sheetId="12" r:id="rId10"/>
    <sheet name="IRI PB" sheetId="13" r:id="rId11"/>
    <sheet name="KANTAR" sheetId="14" r:id="rId12"/>
    <sheet name="GfK" sheetId="15" r:id="rId13"/>
    <sheet name=" DETAIL MONOPOLES" sheetId="16" r:id="rId14"/>
    <sheet name="PANEL CHR FRANCE" sheetId="17" r:id="rId15"/>
    <sheet name="ANNEXE 1 Grille" sheetId="18" r:id="rId16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D15" i="16" l="1"/>
  <c r="D25" i="9"/>
  <c r="G26" i="9"/>
  <c r="D32" i="9"/>
  <c r="D32" i="10" l="1"/>
  <c r="C36" i="14" l="1"/>
  <c r="F35" i="13"/>
  <c r="C36" i="11"/>
  <c r="D36" i="10"/>
  <c r="D37" i="9"/>
  <c r="C34" i="12"/>
  <c r="D35" i="15" l="1"/>
  <c r="H35" i="15"/>
  <c r="J12" i="1" l="1"/>
  <c r="C24" i="9" l="1"/>
  <c r="B23" i="18"/>
  <c r="F22" i="9" l="1"/>
  <c r="F11" i="9" s="1"/>
  <c r="D22" i="9"/>
  <c r="D33" i="9"/>
  <c r="D26" i="9" s="1"/>
  <c r="F26" i="9"/>
  <c r="D10" i="9" l="1"/>
  <c r="C25" i="9"/>
  <c r="D16" i="9"/>
  <c r="D9" i="9"/>
  <c r="D11" i="9"/>
  <c r="C11" i="9" s="1"/>
  <c r="D19" i="9"/>
  <c r="D20" i="9"/>
  <c r="D13" i="9"/>
  <c r="D15" i="9"/>
  <c r="D8" i="9"/>
  <c r="D12" i="9"/>
  <c r="D5" i="9"/>
  <c r="D14" i="9"/>
  <c r="D7" i="9"/>
  <c r="D6" i="9"/>
  <c r="F21" i="9"/>
  <c r="C21" i="9" s="1"/>
  <c r="F8" i="9"/>
  <c r="F18" i="9"/>
  <c r="F15" i="9"/>
  <c r="F7" i="9"/>
  <c r="F14" i="9"/>
  <c r="F6" i="9"/>
  <c r="F10" i="9"/>
  <c r="F4" i="9"/>
  <c r="F13" i="9"/>
  <c r="F5" i="9"/>
  <c r="F17" i="9"/>
  <c r="F16" i="9"/>
  <c r="F20" i="9"/>
  <c r="F12" i="9"/>
  <c r="F9" i="9"/>
  <c r="F19" i="9"/>
  <c r="C12" i="9" l="1"/>
  <c r="F27" i="9"/>
  <c r="C15" i="9"/>
  <c r="C10" i="9"/>
  <c r="D17" i="9"/>
  <c r="D4" i="9"/>
  <c r="D27" i="9" s="1"/>
  <c r="D18" i="9"/>
  <c r="G23" i="2" l="1"/>
  <c r="G25" i="1"/>
  <c r="F12" i="1"/>
  <c r="F13" i="1"/>
  <c r="F15" i="1"/>
  <c r="G11" i="1"/>
  <c r="F11" i="1" s="1"/>
  <c r="I5" i="14"/>
  <c r="G5" i="14" s="1"/>
  <c r="C5" i="14" s="1"/>
  <c r="I10" i="14"/>
  <c r="G10" i="14" s="1"/>
  <c r="C10" i="14" s="1"/>
  <c r="I11" i="14"/>
  <c r="G11" i="14" s="1"/>
  <c r="C11" i="14" s="1"/>
  <c r="I15" i="14"/>
  <c r="G15" i="14" s="1"/>
  <c r="C15" i="14" s="1"/>
  <c r="I21" i="14"/>
  <c r="G21" i="14" s="1"/>
  <c r="C21" i="14" s="1"/>
  <c r="I23" i="14"/>
  <c r="G23" i="14" s="1"/>
  <c r="C23" i="14" s="1"/>
  <c r="D24" i="14"/>
  <c r="B24" i="14" s="1"/>
  <c r="E25" i="2" s="1"/>
  <c r="H6" i="2"/>
  <c r="F6" i="2" s="1"/>
  <c r="H11" i="2"/>
  <c r="F11" i="2" s="1"/>
  <c r="H12" i="2"/>
  <c r="F12" i="2" s="1"/>
  <c r="H16" i="2"/>
  <c r="F16" i="2" s="1"/>
  <c r="H22" i="2"/>
  <c r="F22" i="2" s="1"/>
  <c r="H24" i="2"/>
  <c r="F24" i="2" s="1"/>
  <c r="E28" i="2"/>
  <c r="C39" i="14"/>
  <c r="O28" i="2"/>
  <c r="F31" i="13"/>
  <c r="H62" i="13"/>
  <c r="M56" i="13"/>
  <c r="N56" i="13"/>
  <c r="I52" i="13"/>
  <c r="J52" i="13"/>
  <c r="K52" i="13"/>
  <c r="L52" i="13"/>
  <c r="M52" i="13"/>
  <c r="N52" i="13"/>
  <c r="H52" i="13"/>
  <c r="H46" i="13" s="1"/>
  <c r="H45" i="13" s="1"/>
  <c r="C52" i="13"/>
  <c r="H53" i="13"/>
  <c r="O53" i="13"/>
  <c r="A52" i="13"/>
  <c r="I26" i="13"/>
  <c r="H9" i="13" s="1"/>
  <c r="I27" i="13"/>
  <c r="H14" i="13"/>
  <c r="H17" i="13"/>
  <c r="C32" i="14"/>
  <c r="I26" i="14" s="1"/>
  <c r="D31" i="15"/>
  <c r="C7" i="15" s="1"/>
  <c r="C25" i="15"/>
  <c r="C18" i="15" s="1"/>
  <c r="C6" i="15"/>
  <c r="C12" i="15"/>
  <c r="C14" i="15"/>
  <c r="C16" i="15"/>
  <c r="C17" i="15"/>
  <c r="H31" i="15"/>
  <c r="G19" i="15" s="1"/>
  <c r="G13" i="15"/>
  <c r="Y5" i="2"/>
  <c r="AD5" i="2"/>
  <c r="AD8" i="2"/>
  <c r="AD9" i="2"/>
  <c r="AD13" i="2"/>
  <c r="AD14" i="2"/>
  <c r="AD15" i="2"/>
  <c r="AD17" i="2"/>
  <c r="AD18" i="2"/>
  <c r="AD23" i="2"/>
  <c r="G5" i="2"/>
  <c r="G7" i="2"/>
  <c r="G8" i="2"/>
  <c r="G9" i="2"/>
  <c r="G10" i="2"/>
  <c r="G13" i="2"/>
  <c r="G14" i="2"/>
  <c r="G15" i="2"/>
  <c r="G17" i="2"/>
  <c r="G18" i="2"/>
  <c r="G19" i="2"/>
  <c r="G20" i="2"/>
  <c r="G21" i="2"/>
  <c r="H36" i="11"/>
  <c r="C95" i="11"/>
  <c r="B95" i="11"/>
  <c r="I47" i="11"/>
  <c r="K47" i="11"/>
  <c r="M47" i="11"/>
  <c r="N47" i="11"/>
  <c r="A53" i="11"/>
  <c r="L53" i="11" s="1"/>
  <c r="L47" i="11" s="1"/>
  <c r="L46" i="11" s="1"/>
  <c r="D16" i="11" s="1"/>
  <c r="C54" i="11"/>
  <c r="L54" i="11"/>
  <c r="D24" i="2"/>
  <c r="D25" i="2"/>
  <c r="D33" i="10"/>
  <c r="I17" i="10"/>
  <c r="F45" i="9"/>
  <c r="G45" i="9"/>
  <c r="I45" i="9"/>
  <c r="J45" i="9"/>
  <c r="K45" i="9"/>
  <c r="L45" i="9"/>
  <c r="M45" i="9"/>
  <c r="N45" i="9"/>
  <c r="P45" i="9"/>
  <c r="Q45" i="9"/>
  <c r="B87" i="9"/>
  <c r="C87" i="9" s="1"/>
  <c r="G78" i="9"/>
  <c r="B78" i="9"/>
  <c r="Q78" i="9" s="1"/>
  <c r="R45" i="9" s="1"/>
  <c r="B68" i="9"/>
  <c r="C68" i="9" s="1"/>
  <c r="C11" i="2"/>
  <c r="C12" i="2"/>
  <c r="C13" i="2"/>
  <c r="C16" i="2"/>
  <c r="C22" i="2"/>
  <c r="F23" i="9"/>
  <c r="F24" i="9"/>
  <c r="C25" i="2" s="1"/>
  <c r="C26" i="2"/>
  <c r="G9" i="1" s="1"/>
  <c r="AA26" i="2"/>
  <c r="I25" i="2"/>
  <c r="I26" i="2"/>
  <c r="E16" i="1"/>
  <c r="D19" i="1"/>
  <c r="F19" i="1" s="1"/>
  <c r="F20" i="1"/>
  <c r="F25" i="1"/>
  <c r="G26" i="1"/>
  <c r="AE26" i="2"/>
  <c r="AC26" i="2" s="1"/>
  <c r="G20" i="1" s="1"/>
  <c r="F31" i="1"/>
  <c r="J31" i="1" s="1"/>
  <c r="H12" i="1"/>
  <c r="I16" i="1"/>
  <c r="N89" i="9"/>
  <c r="B90" i="9"/>
  <c r="C90" i="9"/>
  <c r="N90" i="9"/>
  <c r="C91" i="9"/>
  <c r="N91" i="9"/>
  <c r="C92" i="9"/>
  <c r="N92" i="9"/>
  <c r="N93" i="9"/>
  <c r="B88" i="9"/>
  <c r="C88" i="9"/>
  <c r="N88" i="9"/>
  <c r="G89" i="9"/>
  <c r="G90" i="9"/>
  <c r="G91" i="9"/>
  <c r="G92" i="9"/>
  <c r="G93" i="9"/>
  <c r="G88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B81" i="9"/>
  <c r="C81" i="9"/>
  <c r="D81" i="9"/>
  <c r="C82" i="9"/>
  <c r="D82" i="9"/>
  <c r="C83" i="9"/>
  <c r="D83" i="9"/>
  <c r="D84" i="9"/>
  <c r="G81" i="9"/>
  <c r="G82" i="9"/>
  <c r="G83" i="9"/>
  <c r="G84" i="9"/>
  <c r="B79" i="9"/>
  <c r="C70" i="9"/>
  <c r="E70" i="9"/>
  <c r="F70" i="9"/>
  <c r="G70" i="9"/>
  <c r="H70" i="9"/>
  <c r="J70" i="9"/>
  <c r="K70" i="9"/>
  <c r="L70" i="9"/>
  <c r="M70" i="9"/>
  <c r="N70" i="9"/>
  <c r="O70" i="9"/>
  <c r="P70" i="9"/>
  <c r="Q70" i="9"/>
  <c r="D70" i="9"/>
  <c r="H25" i="13"/>
  <c r="G25" i="13"/>
  <c r="M11" i="16"/>
  <c r="M5" i="16"/>
  <c r="Q28" i="2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28" i="17" s="1"/>
  <c r="G9" i="17"/>
  <c r="G8" i="17"/>
  <c r="G7" i="17"/>
  <c r="G6" i="17"/>
  <c r="G5" i="17"/>
  <c r="G4" i="17"/>
  <c r="G25" i="17"/>
  <c r="J46" i="13"/>
  <c r="D5" i="12"/>
  <c r="B5" i="12" s="1"/>
  <c r="N6" i="2" s="1"/>
  <c r="D10" i="12"/>
  <c r="B10" i="12" s="1"/>
  <c r="N11" i="2" s="1"/>
  <c r="D11" i="12"/>
  <c r="B11" i="12" s="1"/>
  <c r="N12" i="2" s="1"/>
  <c r="D15" i="12"/>
  <c r="B15" i="12" s="1"/>
  <c r="N16" i="2" s="1"/>
  <c r="D21" i="12"/>
  <c r="D23" i="12"/>
  <c r="C30" i="12"/>
  <c r="C25" i="12"/>
  <c r="C16" i="12" s="1"/>
  <c r="C4" i="12"/>
  <c r="C22" i="12"/>
  <c r="C20" i="12"/>
  <c r="C19" i="12"/>
  <c r="C18" i="12"/>
  <c r="C17" i="12"/>
  <c r="C14" i="12"/>
  <c r="C13" i="12"/>
  <c r="C12" i="12"/>
  <c r="C9" i="12"/>
  <c r="C8" i="12"/>
  <c r="C7" i="12"/>
  <c r="C6" i="12"/>
  <c r="C32" i="11"/>
  <c r="C26" i="11" s="1"/>
  <c r="B26" i="11" s="1"/>
  <c r="H32" i="11"/>
  <c r="H26" i="11" s="1"/>
  <c r="G26" i="11" s="1"/>
  <c r="E48" i="11"/>
  <c r="F48" i="11"/>
  <c r="G48" i="11"/>
  <c r="H48" i="11"/>
  <c r="I48" i="11"/>
  <c r="J48" i="11"/>
  <c r="K48" i="11"/>
  <c r="L48" i="11"/>
  <c r="M48" i="11"/>
  <c r="N48" i="11"/>
  <c r="D48" i="11"/>
  <c r="B23" i="10"/>
  <c r="B24" i="10"/>
  <c r="I8" i="10"/>
  <c r="I4" i="10"/>
  <c r="J5" i="10"/>
  <c r="H5" i="10" s="1"/>
  <c r="C5" i="10" s="1"/>
  <c r="B5" i="10" s="1"/>
  <c r="D6" i="2" s="1"/>
  <c r="C53" i="13"/>
  <c r="G62" i="13"/>
  <c r="N28" i="11"/>
  <c r="M17" i="11" s="1"/>
  <c r="C96" i="11"/>
  <c r="J9" i="10"/>
  <c r="H9" i="10" s="1"/>
  <c r="C9" i="10" s="1"/>
  <c r="B9" i="10" s="1"/>
  <c r="D10" i="2" s="1"/>
  <c r="J15" i="10"/>
  <c r="H15" i="10"/>
  <c r="C15" i="10" s="1"/>
  <c r="B15" i="10" s="1"/>
  <c r="D16" i="2" s="1"/>
  <c r="J16" i="10"/>
  <c r="H16" i="10" s="1"/>
  <c r="C16" i="10" s="1"/>
  <c r="B16" i="10" s="1"/>
  <c r="D17" i="2" s="1"/>
  <c r="J24" i="10"/>
  <c r="H24" i="10" s="1"/>
  <c r="J23" i="10"/>
  <c r="H23" i="10" s="1"/>
  <c r="J6" i="10"/>
  <c r="H6" i="10" s="1"/>
  <c r="C6" i="10" s="1"/>
  <c r="B6" i="10" s="1"/>
  <c r="D7" i="2" s="1"/>
  <c r="J20" i="10"/>
  <c r="H20" i="10" s="1"/>
  <c r="C20" i="10" s="1"/>
  <c r="B20" i="10" s="1"/>
  <c r="D21" i="2" s="1"/>
  <c r="J11" i="10"/>
  <c r="H11" i="10" s="1"/>
  <c r="C11" i="10" s="1"/>
  <c r="B11" i="10" s="1"/>
  <c r="D12" i="2" s="1"/>
  <c r="J19" i="10"/>
  <c r="H19" i="10" s="1"/>
  <c r="C19" i="10" s="1"/>
  <c r="B19" i="10" s="1"/>
  <c r="D20" i="2" s="1"/>
  <c r="J10" i="10"/>
  <c r="H10" i="10" s="1"/>
  <c r="C10" i="10" s="1"/>
  <c r="B10" i="10" s="1"/>
  <c r="D11" i="2" s="1"/>
  <c r="J18" i="10"/>
  <c r="H18" i="10" s="1"/>
  <c r="C18" i="10" s="1"/>
  <c r="B18" i="10" s="1"/>
  <c r="D19" i="2" s="1"/>
  <c r="J21" i="10"/>
  <c r="H21" i="10" s="1"/>
  <c r="C21" i="10" s="1"/>
  <c r="B21" i="10" s="1"/>
  <c r="D22" i="2" s="1"/>
  <c r="M8" i="11"/>
  <c r="M18" i="11"/>
  <c r="M7" i="11"/>
  <c r="M13" i="11"/>
  <c r="M9" i="11"/>
  <c r="M14" i="11"/>
  <c r="M4" i="11"/>
  <c r="K56" i="10"/>
  <c r="K55" i="10"/>
  <c r="K54" i="10"/>
  <c r="K53" i="10"/>
  <c r="D65" i="10"/>
  <c r="D66" i="10"/>
  <c r="D67" i="10"/>
  <c r="D62" i="10"/>
  <c r="D63" i="10"/>
  <c r="D64" i="10"/>
  <c r="L44" i="10"/>
  <c r="D17" i="10"/>
  <c r="E46" i="10"/>
  <c r="E44" i="10"/>
  <c r="F46" i="10"/>
  <c r="G46" i="10"/>
  <c r="H46" i="10"/>
  <c r="I46" i="10"/>
  <c r="J46" i="10"/>
  <c r="K46" i="10"/>
  <c r="D46" i="10"/>
  <c r="B62" i="10"/>
  <c r="C62" i="10" s="1"/>
  <c r="D7" i="10"/>
  <c r="Y23" i="2"/>
  <c r="Z23" i="2" s="1"/>
  <c r="X23" i="2" s="1"/>
  <c r="Y11" i="2"/>
  <c r="Y6" i="2"/>
  <c r="Z6" i="2" s="1"/>
  <c r="X6" i="2" s="1"/>
  <c r="P20" i="16"/>
  <c r="P15" i="16"/>
  <c r="P14" i="16"/>
  <c r="P12" i="16"/>
  <c r="P6" i="16"/>
  <c r="M20" i="16"/>
  <c r="M15" i="16"/>
  <c r="M14" i="16"/>
  <c r="M12" i="16"/>
  <c r="M6" i="16"/>
  <c r="J20" i="16"/>
  <c r="J15" i="16"/>
  <c r="J14" i="16"/>
  <c r="J12" i="16"/>
  <c r="J11" i="16"/>
  <c r="J6" i="16"/>
  <c r="G20" i="16"/>
  <c r="G15" i="16"/>
  <c r="G14" i="16"/>
  <c r="G12" i="16"/>
  <c r="G11" i="16"/>
  <c r="G28" i="16" s="1"/>
  <c r="G6" i="16"/>
  <c r="D20" i="16"/>
  <c r="D17" i="16"/>
  <c r="D14" i="16"/>
  <c r="D12" i="16"/>
  <c r="D11" i="16"/>
  <c r="D6" i="16"/>
  <c r="D7" i="16"/>
  <c r="D5" i="16"/>
  <c r="Z12" i="2"/>
  <c r="X12" i="2" s="1"/>
  <c r="Z16" i="2"/>
  <c r="X16" i="2" s="1"/>
  <c r="Y18" i="2"/>
  <c r="Y19" i="2"/>
  <c r="Z19" i="2" s="1"/>
  <c r="X19" i="2" s="1"/>
  <c r="Y20" i="2"/>
  <c r="Z20" i="2" s="1"/>
  <c r="X20" i="2" s="1"/>
  <c r="Y17" i="2"/>
  <c r="Y15" i="2"/>
  <c r="Z15" i="2" s="1"/>
  <c r="X15" i="2" s="1"/>
  <c r="Y14" i="2"/>
  <c r="Y13" i="2"/>
  <c r="Y8" i="2"/>
  <c r="Y9" i="2"/>
  <c r="Y10" i="2"/>
  <c r="Y7" i="2"/>
  <c r="Z7" i="2" s="1"/>
  <c r="X7" i="2" s="1"/>
  <c r="V18" i="2"/>
  <c r="V19" i="2"/>
  <c r="V20" i="2"/>
  <c r="V17" i="2"/>
  <c r="V14" i="2"/>
  <c r="V15" i="2"/>
  <c r="V13" i="2"/>
  <c r="V8" i="2"/>
  <c r="V9" i="2"/>
  <c r="V10" i="2"/>
  <c r="V7" i="2"/>
  <c r="X26" i="2"/>
  <c r="S23" i="2"/>
  <c r="S18" i="2"/>
  <c r="S19" i="2"/>
  <c r="S20" i="2"/>
  <c r="T20" i="2" s="1"/>
  <c r="R20" i="2" s="1"/>
  <c r="S21" i="2"/>
  <c r="S17" i="2"/>
  <c r="T17" i="2" s="1"/>
  <c r="R17" i="2" s="1"/>
  <c r="S15" i="2"/>
  <c r="S14" i="2"/>
  <c r="S6" i="2"/>
  <c r="S7" i="2"/>
  <c r="S8" i="2"/>
  <c r="S9" i="2"/>
  <c r="S10" i="2"/>
  <c r="Z11" i="2"/>
  <c r="X11" i="2" s="1"/>
  <c r="Z21" i="2"/>
  <c r="X21" i="2" s="1"/>
  <c r="Z22" i="2"/>
  <c r="X22" i="2" s="1"/>
  <c r="Z25" i="2"/>
  <c r="X25" i="2" s="1"/>
  <c r="Z24" i="2"/>
  <c r="X24" i="2" s="1"/>
  <c r="Z13" i="2"/>
  <c r="X13" i="2" s="1"/>
  <c r="Z10" i="2"/>
  <c r="X10" i="2" s="1"/>
  <c r="Z17" i="2"/>
  <c r="X17" i="2" s="1"/>
  <c r="Z9" i="2"/>
  <c r="X9" i="2" s="1"/>
  <c r="Z8" i="2"/>
  <c r="X8" i="2" s="1"/>
  <c r="Z14" i="2"/>
  <c r="X14" i="2" s="1"/>
  <c r="Z18" i="2"/>
  <c r="X18" i="2" s="1"/>
  <c r="X29" i="2"/>
  <c r="AE6" i="2"/>
  <c r="AC6" i="2" s="1"/>
  <c r="AE7" i="2"/>
  <c r="AC7" i="2" s="1"/>
  <c r="AE10" i="2"/>
  <c r="AC10" i="2" s="1"/>
  <c r="AE11" i="2"/>
  <c r="AC11" i="2" s="1"/>
  <c r="AE12" i="2"/>
  <c r="AC12" i="2" s="1"/>
  <c r="AE16" i="2"/>
  <c r="AC16" i="2" s="1"/>
  <c r="AE19" i="2"/>
  <c r="AC19" i="2" s="1"/>
  <c r="AE20" i="2"/>
  <c r="AC20" i="2" s="1"/>
  <c r="AE21" i="2"/>
  <c r="AC21" i="2" s="1"/>
  <c r="AE22" i="2"/>
  <c r="AC22" i="2" s="1"/>
  <c r="AE24" i="2"/>
  <c r="AC24" i="2" s="1"/>
  <c r="AE25" i="2"/>
  <c r="AC25" i="2" s="1"/>
  <c r="E2" i="16"/>
  <c r="C2" i="16" s="1"/>
  <c r="E3" i="16"/>
  <c r="C3" i="16" s="1"/>
  <c r="E4" i="16"/>
  <c r="C4" i="16" s="1"/>
  <c r="E8" i="16"/>
  <c r="C8" i="16" s="1"/>
  <c r="E9" i="16"/>
  <c r="C9" i="16" s="1"/>
  <c r="E10" i="16"/>
  <c r="C10" i="16" s="1"/>
  <c r="E13" i="16"/>
  <c r="C13" i="16" s="1"/>
  <c r="E18" i="16"/>
  <c r="C18" i="16" s="1"/>
  <c r="E19" i="16"/>
  <c r="C19" i="16" s="1"/>
  <c r="E21" i="16"/>
  <c r="C21" i="16" s="1"/>
  <c r="E22" i="16"/>
  <c r="C22" i="16" s="1"/>
  <c r="H2" i="16"/>
  <c r="F2" i="16" s="1"/>
  <c r="H3" i="16"/>
  <c r="F3" i="16" s="1"/>
  <c r="H4" i="16"/>
  <c r="F4" i="16" s="1"/>
  <c r="H5" i="16"/>
  <c r="F5" i="16" s="1"/>
  <c r="H7" i="16"/>
  <c r="F7" i="16" s="1"/>
  <c r="H8" i="16"/>
  <c r="F8" i="16" s="1"/>
  <c r="H9" i="16"/>
  <c r="F9" i="16" s="1"/>
  <c r="H10" i="16"/>
  <c r="F10" i="16" s="1"/>
  <c r="H13" i="16"/>
  <c r="F13" i="16"/>
  <c r="H16" i="16"/>
  <c r="F16" i="16" s="1"/>
  <c r="H17" i="16"/>
  <c r="F17" i="16" s="1"/>
  <c r="H18" i="16"/>
  <c r="F18" i="16" s="1"/>
  <c r="H19" i="16"/>
  <c r="F19" i="16" s="1"/>
  <c r="H21" i="16"/>
  <c r="F21" i="16" s="1"/>
  <c r="H22" i="16"/>
  <c r="F22" i="16" s="1"/>
  <c r="G31" i="1"/>
  <c r="E31" i="1"/>
  <c r="V5" i="2"/>
  <c r="S5" i="2"/>
  <c r="W6" i="2"/>
  <c r="U6" i="2" s="1"/>
  <c r="W11" i="2"/>
  <c r="U11" i="2" s="1"/>
  <c r="W12" i="2"/>
  <c r="U12" i="2" s="1"/>
  <c r="T12" i="2"/>
  <c r="R12" i="2" s="1"/>
  <c r="L12" i="2"/>
  <c r="J12" i="2" s="1"/>
  <c r="T13" i="2"/>
  <c r="R13" i="2" s="1"/>
  <c r="L13" i="2"/>
  <c r="J13" i="2" s="1"/>
  <c r="W16" i="2"/>
  <c r="U16" i="2" s="1"/>
  <c r="T16" i="2"/>
  <c r="R16" i="2" s="1"/>
  <c r="L16" i="2"/>
  <c r="J16" i="2" s="1"/>
  <c r="W22" i="2"/>
  <c r="U22" i="2" s="1"/>
  <c r="T22" i="2"/>
  <c r="R22" i="2" s="1"/>
  <c r="L22" i="2"/>
  <c r="J22" i="2" s="1"/>
  <c r="W23" i="2"/>
  <c r="U23" i="2" s="1"/>
  <c r="D22" i="10"/>
  <c r="W24" i="2"/>
  <c r="U24" i="2" s="1"/>
  <c r="T24" i="2"/>
  <c r="R24" i="2" s="1"/>
  <c r="L24" i="2"/>
  <c r="J24" i="2" s="1"/>
  <c r="W25" i="2"/>
  <c r="U25" i="2" s="1"/>
  <c r="T25" i="2"/>
  <c r="R25" i="2" s="1"/>
  <c r="R26" i="2"/>
  <c r="I44" i="10"/>
  <c r="D4" i="10"/>
  <c r="H44" i="10"/>
  <c r="D8" i="10"/>
  <c r="F44" i="10"/>
  <c r="G44" i="10"/>
  <c r="D13" i="10"/>
  <c r="J44" i="10"/>
  <c r="D14" i="10"/>
  <c r="H54" i="13"/>
  <c r="H47" i="13"/>
  <c r="E62" i="13"/>
  <c r="E63" i="13"/>
  <c r="K54" i="13"/>
  <c r="I55" i="13"/>
  <c r="I47" i="13"/>
  <c r="O47" i="13"/>
  <c r="F39" i="13"/>
  <c r="I5" i="13"/>
  <c r="G5" i="13" s="1"/>
  <c r="C5" i="13" s="1"/>
  <c r="B5" i="13" s="1"/>
  <c r="O6" i="2" s="1"/>
  <c r="D6" i="13"/>
  <c r="D7" i="13"/>
  <c r="D8" i="13"/>
  <c r="D9" i="13"/>
  <c r="I10" i="13"/>
  <c r="G10" i="13" s="1"/>
  <c r="C10" i="13" s="1"/>
  <c r="B10" i="13" s="1"/>
  <c r="O11" i="2" s="1"/>
  <c r="I11" i="13"/>
  <c r="G11" i="13" s="1"/>
  <c r="C11" i="13" s="1"/>
  <c r="B11" i="13" s="1"/>
  <c r="O12" i="2" s="1"/>
  <c r="I12" i="13"/>
  <c r="G12" i="13" s="1"/>
  <c r="C12" i="13" s="1"/>
  <c r="B12" i="13" s="1"/>
  <c r="O13" i="2" s="1"/>
  <c r="D12" i="13"/>
  <c r="D13" i="13"/>
  <c r="J47" i="13"/>
  <c r="J45" i="13"/>
  <c r="D14" i="13"/>
  <c r="I15" i="13"/>
  <c r="G15" i="13" s="1"/>
  <c r="C15" i="13" s="1"/>
  <c r="B15" i="13" s="1"/>
  <c r="O16" i="2" s="1"/>
  <c r="D15" i="13"/>
  <c r="L47" i="13"/>
  <c r="D17" i="13"/>
  <c r="D18" i="13"/>
  <c r="D19" i="13"/>
  <c r="D20" i="13"/>
  <c r="I21" i="13"/>
  <c r="G21" i="13" s="1"/>
  <c r="C21" i="13" s="1"/>
  <c r="B21" i="13" s="1"/>
  <c r="O22" i="2" s="1"/>
  <c r="D21" i="13"/>
  <c r="I23" i="13"/>
  <c r="G23" i="13" s="1"/>
  <c r="C23" i="13" s="1"/>
  <c r="B23" i="13" s="1"/>
  <c r="O24" i="2" s="1"/>
  <c r="G24" i="13"/>
  <c r="C24" i="13"/>
  <c r="B24" i="13"/>
  <c r="O25" i="2"/>
  <c r="K47" i="13"/>
  <c r="M55" i="13"/>
  <c r="M47" i="13"/>
  <c r="N55" i="13"/>
  <c r="N47" i="13"/>
  <c r="N54" i="13"/>
  <c r="D63" i="13"/>
  <c r="J58" i="13"/>
  <c r="J56" i="13"/>
  <c r="C63" i="13"/>
  <c r="J57" i="13"/>
  <c r="O57" i="13"/>
  <c r="C75" i="13"/>
  <c r="L75" i="13"/>
  <c r="C76" i="13"/>
  <c r="L76" i="13"/>
  <c r="L77" i="13"/>
  <c r="E65" i="11"/>
  <c r="C57" i="11"/>
  <c r="E66" i="11"/>
  <c r="L55" i="11"/>
  <c r="D5" i="15"/>
  <c r="B5" i="15" s="1"/>
  <c r="P6" i="2" s="1"/>
  <c r="D10" i="15"/>
  <c r="B10" i="15" s="1"/>
  <c r="P11" i="2" s="1"/>
  <c r="D11" i="15"/>
  <c r="B11" i="15" s="1"/>
  <c r="P12" i="2" s="1"/>
  <c r="D15" i="15"/>
  <c r="B15" i="15" s="1"/>
  <c r="P16" i="2" s="1"/>
  <c r="D20" i="15"/>
  <c r="B20" i="15" s="1"/>
  <c r="P21" i="2" s="1"/>
  <c r="D21" i="15"/>
  <c r="B21" i="15" s="1"/>
  <c r="P22" i="2" s="1"/>
  <c r="D23" i="15"/>
  <c r="B23" i="15" s="1"/>
  <c r="P24" i="2" s="1"/>
  <c r="B24" i="15"/>
  <c r="P25" i="2"/>
  <c r="N5" i="11"/>
  <c r="L5" i="11" s="1"/>
  <c r="C5" i="11" s="1"/>
  <c r="B5" i="11" s="1"/>
  <c r="H5" i="15"/>
  <c r="F5" i="15" s="1"/>
  <c r="Q6" i="2" s="1"/>
  <c r="N10" i="11"/>
  <c r="L10" i="11" s="1"/>
  <c r="C10" i="11" s="1"/>
  <c r="B10" i="11" s="1"/>
  <c r="H10" i="15"/>
  <c r="F10" i="15" s="1"/>
  <c r="Q11" i="2" s="1"/>
  <c r="N11" i="11"/>
  <c r="L11" i="11" s="1"/>
  <c r="C11" i="11" s="1"/>
  <c r="B11" i="11" s="1"/>
  <c r="H11" i="15"/>
  <c r="F11" i="15" s="1"/>
  <c r="Q12" i="2" s="1"/>
  <c r="N15" i="11"/>
  <c r="L15" i="11" s="1"/>
  <c r="C15" i="11" s="1"/>
  <c r="B15" i="11" s="1"/>
  <c r="S15" i="11"/>
  <c r="Q15" i="11" s="1"/>
  <c r="H15" i="11" s="1"/>
  <c r="G15" i="11" s="1"/>
  <c r="H15" i="15"/>
  <c r="F15" i="15" s="1"/>
  <c r="Q16" i="2" s="1"/>
  <c r="K46" i="11"/>
  <c r="D19" i="11"/>
  <c r="H20" i="15"/>
  <c r="F20" i="15" s="1"/>
  <c r="Q21" i="2" s="1"/>
  <c r="N21" i="11"/>
  <c r="L21" i="11" s="1"/>
  <c r="C21" i="11" s="1"/>
  <c r="B21" i="11" s="1"/>
  <c r="S21" i="11"/>
  <c r="Q21" i="11" s="1"/>
  <c r="H21" i="11" s="1"/>
  <c r="G21" i="11" s="1"/>
  <c r="H21" i="15"/>
  <c r="F21" i="15" s="1"/>
  <c r="Q22" i="2" s="1"/>
  <c r="N23" i="11"/>
  <c r="L23" i="11" s="1"/>
  <c r="C23" i="11" s="1"/>
  <c r="B23" i="11" s="1"/>
  <c r="S23" i="11"/>
  <c r="Q23" i="11" s="1"/>
  <c r="H23" i="11" s="1"/>
  <c r="G23" i="11" s="1"/>
  <c r="H23" i="15"/>
  <c r="F23" i="15" s="1"/>
  <c r="Q24" i="2" s="1"/>
  <c r="L25" i="11"/>
  <c r="C25" i="11"/>
  <c r="B25" i="11"/>
  <c r="Q25" i="11"/>
  <c r="H25" i="11"/>
  <c r="G25" i="11"/>
  <c r="F24" i="15"/>
  <c r="Q25" i="2"/>
  <c r="L25" i="2"/>
  <c r="J25" i="2" s="1"/>
  <c r="U26" i="2"/>
  <c r="J26" i="2"/>
  <c r="K11" i="2"/>
  <c r="J50" i="9"/>
  <c r="J53" i="9"/>
  <c r="G50" i="9"/>
  <c r="F53" i="9"/>
  <c r="G53" i="9"/>
  <c r="S24" i="11"/>
  <c r="Q24" i="11" s="1"/>
  <c r="H24" i="11" s="1"/>
  <c r="G24" i="11" s="1"/>
  <c r="S11" i="11"/>
  <c r="Q11" i="11" s="1"/>
  <c r="H11" i="11" s="1"/>
  <c r="G11" i="11" s="1"/>
  <c r="S10" i="11"/>
  <c r="Q10" i="11" s="1"/>
  <c r="H10" i="11" s="1"/>
  <c r="G10" i="11" s="1"/>
  <c r="S5" i="11"/>
  <c r="Q5" i="11" s="1"/>
  <c r="H5" i="11" s="1"/>
  <c r="G5" i="11" s="1"/>
  <c r="H35" i="11"/>
  <c r="H33" i="11"/>
  <c r="H27" i="12"/>
  <c r="C33" i="12"/>
  <c r="C24" i="17"/>
  <c r="B24" i="17"/>
  <c r="B24" i="16"/>
  <c r="K2" i="16"/>
  <c r="I2" i="16" s="1"/>
  <c r="N2" i="16"/>
  <c r="L2" i="16" s="1"/>
  <c r="Q2" i="16"/>
  <c r="O2" i="16" s="1"/>
  <c r="K3" i="16"/>
  <c r="I3" i="16" s="1"/>
  <c r="N3" i="16"/>
  <c r="L3" i="16" s="1"/>
  <c r="Q3" i="16"/>
  <c r="O3" i="16" s="1"/>
  <c r="K4" i="16"/>
  <c r="I4" i="16" s="1"/>
  <c r="N4" i="16"/>
  <c r="L4" i="16" s="1"/>
  <c r="Q4" i="16"/>
  <c r="O4" i="16" s="1"/>
  <c r="K5" i="16"/>
  <c r="I5" i="16" s="1"/>
  <c r="Q5" i="16"/>
  <c r="O5" i="16" s="1"/>
  <c r="K7" i="16"/>
  <c r="I7" i="16" s="1"/>
  <c r="N7" i="16"/>
  <c r="L7" i="16" s="1"/>
  <c r="Q7" i="16"/>
  <c r="O7" i="16" s="1"/>
  <c r="K8" i="16"/>
  <c r="I8" i="16" s="1"/>
  <c r="N8" i="16"/>
  <c r="L8" i="16" s="1"/>
  <c r="Q8" i="16"/>
  <c r="O8" i="16" s="1"/>
  <c r="K9" i="16"/>
  <c r="I9" i="16" s="1"/>
  <c r="N9" i="16"/>
  <c r="L9" i="16" s="1"/>
  <c r="Q9" i="16"/>
  <c r="O9" i="16" s="1"/>
  <c r="K10" i="16"/>
  <c r="I10" i="16" s="1"/>
  <c r="N10" i="16"/>
  <c r="L10" i="16" s="1"/>
  <c r="Q10" i="16"/>
  <c r="O10" i="16" s="1"/>
  <c r="Q11" i="16"/>
  <c r="O11" i="16" s="1"/>
  <c r="K13" i="16"/>
  <c r="I13" i="16" s="1"/>
  <c r="N13" i="16"/>
  <c r="L13" i="16" s="1"/>
  <c r="Q13" i="16"/>
  <c r="O13" i="16" s="1"/>
  <c r="K16" i="16"/>
  <c r="I16" i="16" s="1"/>
  <c r="N16" i="16"/>
  <c r="L16" i="16" s="1"/>
  <c r="Q16" i="16"/>
  <c r="O16" i="16" s="1"/>
  <c r="K17" i="16"/>
  <c r="I17" i="16" s="1"/>
  <c r="N17" i="16"/>
  <c r="L17" i="16" s="1"/>
  <c r="Q17" i="16"/>
  <c r="O17" i="16" s="1"/>
  <c r="K18" i="16"/>
  <c r="I18" i="16" s="1"/>
  <c r="N18" i="16"/>
  <c r="L18" i="16" s="1"/>
  <c r="Q18" i="16"/>
  <c r="O18" i="16"/>
  <c r="K19" i="16"/>
  <c r="I19" i="16" s="1"/>
  <c r="N19" i="16"/>
  <c r="L19" i="16" s="1"/>
  <c r="Q19" i="16"/>
  <c r="O19" i="16" s="1"/>
  <c r="K21" i="16"/>
  <c r="I21" i="16" s="1"/>
  <c r="N21" i="16"/>
  <c r="L21" i="16" s="1"/>
  <c r="Q21" i="16"/>
  <c r="O21" i="16" s="1"/>
  <c r="K22" i="16"/>
  <c r="I22" i="16" s="1"/>
  <c r="N22" i="16"/>
  <c r="L22" i="16" s="1"/>
  <c r="Q22" i="16"/>
  <c r="O22" i="16" s="1"/>
  <c r="C23" i="16"/>
  <c r="F23" i="16"/>
  <c r="I23" i="16"/>
  <c r="L23" i="16"/>
  <c r="O23" i="16"/>
  <c r="F32" i="13"/>
  <c r="B21" i="12"/>
  <c r="N22" i="2" s="1"/>
  <c r="B23" i="12"/>
  <c r="N24" i="2" s="1"/>
  <c r="B24" i="12"/>
  <c r="N25" i="2"/>
  <c r="N46" i="11"/>
  <c r="D9" i="11"/>
  <c r="D12" i="11"/>
  <c r="D15" i="11"/>
  <c r="D20" i="11"/>
  <c r="D21" i="11"/>
  <c r="N24" i="11"/>
  <c r="L24" i="11" s="1"/>
  <c r="C24" i="11" s="1"/>
  <c r="B24" i="11" s="1"/>
  <c r="G24" i="14"/>
  <c r="C24" i="14"/>
  <c r="J64" i="10"/>
  <c r="I54" i="13"/>
  <c r="G54" i="13"/>
  <c r="F54" i="13"/>
  <c r="E54" i="13"/>
  <c r="D54" i="13"/>
  <c r="E64" i="11"/>
  <c r="D35" i="10"/>
  <c r="B25" i="17"/>
  <c r="C23" i="17"/>
  <c r="C14" i="17"/>
  <c r="C12" i="17"/>
  <c r="P25" i="16"/>
  <c r="M25" i="16"/>
  <c r="J25" i="16"/>
  <c r="G25" i="16"/>
  <c r="D25" i="16"/>
  <c r="H34" i="15"/>
  <c r="D34" i="15"/>
  <c r="D32" i="15"/>
  <c r="C35" i="14"/>
  <c r="H77" i="13"/>
  <c r="B74" i="13"/>
  <c r="C74" i="13"/>
  <c r="H58" i="13"/>
  <c r="H55" i="13"/>
  <c r="G55" i="13"/>
  <c r="G47" i="13"/>
  <c r="F47" i="13"/>
  <c r="E47" i="13"/>
  <c r="D47" i="13"/>
  <c r="F34" i="13"/>
  <c r="I28" i="13"/>
  <c r="I114" i="11"/>
  <c r="H114" i="11"/>
  <c r="G114" i="11"/>
  <c r="F114" i="11"/>
  <c r="E114" i="11"/>
  <c r="D114" i="11"/>
  <c r="I113" i="11"/>
  <c r="H113" i="11"/>
  <c r="G113" i="11"/>
  <c r="F113" i="11"/>
  <c r="E113" i="11"/>
  <c r="D113" i="11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C107" i="11"/>
  <c r="C106" i="11"/>
  <c r="B105" i="11"/>
  <c r="C105" i="11"/>
  <c r="M101" i="11"/>
  <c r="L101" i="11"/>
  <c r="K101" i="11"/>
  <c r="H101" i="11"/>
  <c r="G101" i="11"/>
  <c r="E101" i="11"/>
  <c r="D101" i="11"/>
  <c r="C100" i="11"/>
  <c r="D100" i="11"/>
  <c r="H100" i="11"/>
  <c r="C99" i="11"/>
  <c r="L99" i="11"/>
  <c r="G99" i="11"/>
  <c r="B98" i="11"/>
  <c r="C98" i="11"/>
  <c r="H98" i="11"/>
  <c r="H90" i="11"/>
  <c r="E68" i="11"/>
  <c r="D68" i="11"/>
  <c r="C68" i="11"/>
  <c r="E67" i="11"/>
  <c r="D67" i="11"/>
  <c r="C67" i="11"/>
  <c r="D66" i="11"/>
  <c r="C66" i="11"/>
  <c r="D65" i="11"/>
  <c r="C58" i="11"/>
  <c r="F58" i="11"/>
  <c r="C65" i="11"/>
  <c r="C59" i="11"/>
  <c r="O61" i="11"/>
  <c r="C60" i="11"/>
  <c r="E60" i="11"/>
  <c r="O60" i="11"/>
  <c r="G60" i="11"/>
  <c r="D60" i="11"/>
  <c r="C35" i="11"/>
  <c r="C66" i="10"/>
  <c r="J65" i="10"/>
  <c r="C65" i="10"/>
  <c r="I65" i="10"/>
  <c r="B64" i="10"/>
  <c r="C64" i="10"/>
  <c r="J56" i="10"/>
  <c r="I56" i="10"/>
  <c r="H56" i="10"/>
  <c r="G56" i="10"/>
  <c r="F56" i="10"/>
  <c r="E56" i="10"/>
  <c r="C55" i="10"/>
  <c r="F55" i="10"/>
  <c r="C54" i="10"/>
  <c r="F54" i="10"/>
  <c r="B53" i="10"/>
  <c r="C53" i="10"/>
  <c r="Q74" i="9"/>
  <c r="O74" i="9"/>
  <c r="N74" i="9"/>
  <c r="M74" i="9"/>
  <c r="D74" i="9"/>
  <c r="L74" i="9"/>
  <c r="K74" i="9"/>
  <c r="J74" i="9"/>
  <c r="H74" i="9"/>
  <c r="G74" i="9"/>
  <c r="C73" i="9"/>
  <c r="K73" i="9"/>
  <c r="C72" i="9"/>
  <c r="G72" i="9"/>
  <c r="Q71" i="9"/>
  <c r="O71" i="9"/>
  <c r="N71" i="9"/>
  <c r="M71" i="9"/>
  <c r="D71" i="9"/>
  <c r="L71" i="9"/>
  <c r="K71" i="9"/>
  <c r="J71" i="9"/>
  <c r="H71" i="9"/>
  <c r="B71" i="9"/>
  <c r="C71" i="9"/>
  <c r="G71" i="9"/>
  <c r="E53" i="9"/>
  <c r="D52" i="9"/>
  <c r="C52" i="9"/>
  <c r="J52" i="9"/>
  <c r="C51" i="9"/>
  <c r="E51" i="9"/>
  <c r="B50" i="9"/>
  <c r="C50" i="9"/>
  <c r="D36" i="9"/>
  <c r="D34" i="9" s="1"/>
  <c r="H39" i="7"/>
  <c r="H40" i="7"/>
  <c r="G40" i="7"/>
  <c r="F40" i="7"/>
  <c r="D39" i="7"/>
  <c r="D40" i="7"/>
  <c r="C39" i="7"/>
  <c r="C40" i="7"/>
  <c r="B39" i="7"/>
  <c r="B40" i="7"/>
  <c r="H35" i="7"/>
  <c r="C30" i="7"/>
  <c r="C35" i="7"/>
  <c r="H34" i="7"/>
  <c r="C34" i="7"/>
  <c r="D34" i="7"/>
  <c r="H33" i="7"/>
  <c r="C33" i="7"/>
  <c r="D33" i="7"/>
  <c r="B33" i="7"/>
  <c r="H32" i="7"/>
  <c r="C32" i="7"/>
  <c r="D32" i="7"/>
  <c r="B32" i="7"/>
  <c r="H31" i="7"/>
  <c r="C31" i="7"/>
  <c r="D31" i="7"/>
  <c r="H30" i="7"/>
  <c r="D30" i="7"/>
  <c r="D35" i="7"/>
  <c r="B30" i="7"/>
  <c r="H26" i="7"/>
  <c r="G26" i="7"/>
  <c r="F26" i="7"/>
  <c r="D26" i="7"/>
  <c r="C23" i="7"/>
  <c r="C26" i="7"/>
  <c r="B23" i="7"/>
  <c r="B26" i="7"/>
  <c r="C25" i="7"/>
  <c r="B25" i="7"/>
  <c r="C24" i="7"/>
  <c r="B24" i="7"/>
  <c r="H19" i="7"/>
  <c r="G19" i="7"/>
  <c r="F5" i="7"/>
  <c r="G5" i="7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/>
  <c r="C9" i="7"/>
  <c r="C19" i="7"/>
  <c r="B5" i="7"/>
  <c r="C5" i="7"/>
  <c r="B9" i="7"/>
  <c r="B19" i="7"/>
  <c r="D28" i="6"/>
  <c r="C28" i="6"/>
  <c r="K27" i="6"/>
  <c r="I27" i="6"/>
  <c r="D26" i="6"/>
  <c r="K25" i="6"/>
  <c r="I25" i="6"/>
  <c r="C24" i="6"/>
  <c r="J22" i="6"/>
  <c r="J23" i="6"/>
  <c r="J2" i="6"/>
  <c r="J12" i="6"/>
  <c r="K12" i="6"/>
  <c r="I23" i="6"/>
  <c r="J21" i="6"/>
  <c r="I20" i="6"/>
  <c r="D2" i="6"/>
  <c r="D18" i="6"/>
  <c r="E18" i="6"/>
  <c r="D20" i="6"/>
  <c r="E20" i="6"/>
  <c r="D15" i="6"/>
  <c r="E15" i="6"/>
  <c r="D13" i="6"/>
  <c r="E13" i="6"/>
  <c r="D7" i="6"/>
  <c r="E7" i="6"/>
  <c r="D6" i="6"/>
  <c r="E6" i="6"/>
  <c r="C5" i="6"/>
  <c r="C21" i="6"/>
  <c r="D3" i="6"/>
  <c r="E3" i="6"/>
  <c r="E21" i="6"/>
  <c r="D21" i="6"/>
  <c r="B68" i="5"/>
  <c r="B57" i="5"/>
  <c r="H20" i="5"/>
  <c r="H21" i="5"/>
  <c r="H7" i="5"/>
  <c r="K18" i="5"/>
  <c r="K19" i="5"/>
  <c r="B16" i="5"/>
  <c r="B17" i="5"/>
  <c r="B8" i="5"/>
  <c r="E14" i="5"/>
  <c r="E16" i="5"/>
  <c r="E7" i="5"/>
  <c r="E17" i="5"/>
  <c r="K7" i="5"/>
  <c r="J5" i="4"/>
  <c r="J6" i="4"/>
  <c r="J7" i="4"/>
  <c r="J8" i="4"/>
  <c r="J9" i="4"/>
  <c r="K9" i="4"/>
  <c r="J10" i="4"/>
  <c r="J11" i="4"/>
  <c r="K11" i="4"/>
  <c r="D12" i="4"/>
  <c r="L11" i="4"/>
  <c r="M11" i="4"/>
  <c r="H11" i="4"/>
  <c r="I11" i="4"/>
  <c r="F11" i="4"/>
  <c r="E11" i="4"/>
  <c r="L10" i="4"/>
  <c r="M10" i="4"/>
  <c r="K10" i="4"/>
  <c r="H10" i="4"/>
  <c r="I10" i="4"/>
  <c r="F10" i="4"/>
  <c r="G10" i="4"/>
  <c r="E10" i="4"/>
  <c r="B10" i="4"/>
  <c r="C10" i="4"/>
  <c r="L9" i="4"/>
  <c r="M9" i="4"/>
  <c r="L5" i="4"/>
  <c r="L6" i="4"/>
  <c r="L7" i="4"/>
  <c r="B7" i="4"/>
  <c r="C7" i="4"/>
  <c r="L8" i="4"/>
  <c r="M8" i="4"/>
  <c r="M12" i="4"/>
  <c r="H9" i="4"/>
  <c r="I9" i="4"/>
  <c r="F9" i="4"/>
  <c r="E9" i="4"/>
  <c r="K8" i="4"/>
  <c r="H8" i="4"/>
  <c r="F8" i="4"/>
  <c r="B8" i="4"/>
  <c r="C8" i="4"/>
  <c r="G8" i="4"/>
  <c r="E8" i="4"/>
  <c r="M7" i="4"/>
  <c r="K7" i="4"/>
  <c r="H7" i="4"/>
  <c r="I7" i="4"/>
  <c r="F7" i="4"/>
  <c r="G7" i="4"/>
  <c r="E7" i="4"/>
  <c r="E5" i="4"/>
  <c r="E6" i="4"/>
  <c r="E12" i="4"/>
  <c r="M6" i="4"/>
  <c r="K6" i="4"/>
  <c r="H6" i="4"/>
  <c r="I6" i="4"/>
  <c r="F6" i="4"/>
  <c r="G6" i="4"/>
  <c r="M5" i="4"/>
  <c r="K5" i="4"/>
  <c r="K12" i="4"/>
  <c r="H5" i="4"/>
  <c r="I5" i="4"/>
  <c r="F5" i="4"/>
  <c r="M4" i="4"/>
  <c r="K4" i="4"/>
  <c r="I4" i="4"/>
  <c r="G4" i="4"/>
  <c r="F2" i="4"/>
  <c r="B31" i="7"/>
  <c r="B27" i="15"/>
  <c r="E55" i="13"/>
  <c r="H75" i="13"/>
  <c r="F55" i="13"/>
  <c r="D55" i="13"/>
  <c r="E28" i="6"/>
  <c r="H12" i="4"/>
  <c r="K21" i="6"/>
  <c r="B6" i="4"/>
  <c r="C6" i="4"/>
  <c r="K2" i="6"/>
  <c r="B69" i="5"/>
  <c r="C31" i="12"/>
  <c r="B9" i="4"/>
  <c r="C9" i="4"/>
  <c r="M100" i="11"/>
  <c r="G100" i="11"/>
  <c r="E100" i="11"/>
  <c r="G9" i="4"/>
  <c r="D98" i="11"/>
  <c r="G98" i="11"/>
  <c r="H57" i="13"/>
  <c r="I8" i="4"/>
  <c r="B11" i="4"/>
  <c r="C11" i="4"/>
  <c r="G5" i="4"/>
  <c r="I54" i="10"/>
  <c r="D4" i="6"/>
  <c r="E4" i="6"/>
  <c r="H76" i="13"/>
  <c r="D8" i="6"/>
  <c r="E8" i="6"/>
  <c r="D10" i="6"/>
  <c r="E10" i="6"/>
  <c r="D12" i="6"/>
  <c r="E12" i="6"/>
  <c r="D14" i="6"/>
  <c r="E14" i="6"/>
  <c r="D16" i="6"/>
  <c r="E16" i="6"/>
  <c r="H73" i="9"/>
  <c r="C9" i="17"/>
  <c r="C13" i="17"/>
  <c r="F24" i="17"/>
  <c r="F51" i="9"/>
  <c r="G51" i="9"/>
  <c r="C33" i="14"/>
  <c r="M73" i="9"/>
  <c r="D53" i="9"/>
  <c r="N72" i="9"/>
  <c r="Q72" i="9"/>
  <c r="J72" i="9"/>
  <c r="L72" i="9"/>
  <c r="D73" i="9"/>
  <c r="O73" i="9"/>
  <c r="G73" i="9"/>
  <c r="E52" i="9"/>
  <c r="J73" i="9"/>
  <c r="L73" i="9"/>
  <c r="G12" i="4"/>
  <c r="C12" i="4"/>
  <c r="J4" i="6"/>
  <c r="K4" i="6"/>
  <c r="L12" i="4"/>
  <c r="C22" i="17"/>
  <c r="C11" i="17"/>
  <c r="C17" i="17"/>
  <c r="C20" i="17"/>
  <c r="D20" i="17" s="1"/>
  <c r="C10" i="17"/>
  <c r="C21" i="17"/>
  <c r="D21" i="17" s="1"/>
  <c r="C19" i="17"/>
  <c r="C8" i="17"/>
  <c r="C18" i="17"/>
  <c r="C7" i="17"/>
  <c r="C16" i="17"/>
  <c r="C6" i="17"/>
  <c r="C15" i="17"/>
  <c r="C4" i="17"/>
  <c r="C28" i="17" s="1"/>
  <c r="C5" i="17"/>
  <c r="F25" i="17"/>
  <c r="J12" i="4"/>
  <c r="H56" i="13"/>
  <c r="O56" i="13"/>
  <c r="J17" i="6"/>
  <c r="K17" i="6"/>
  <c r="J9" i="6"/>
  <c r="K9" i="6"/>
  <c r="J18" i="6"/>
  <c r="K18" i="6"/>
  <c r="J10" i="6"/>
  <c r="K10" i="6"/>
  <c r="J19" i="6"/>
  <c r="J15" i="6"/>
  <c r="K15" i="6"/>
  <c r="J7" i="6"/>
  <c r="K7" i="6"/>
  <c r="J11" i="6"/>
  <c r="K11" i="6"/>
  <c r="J3" i="6"/>
  <c r="J16" i="6"/>
  <c r="K16" i="6"/>
  <c r="J8" i="6"/>
  <c r="K8" i="6"/>
  <c r="J13" i="6"/>
  <c r="K13" i="6"/>
  <c r="J5" i="6"/>
  <c r="K5" i="6"/>
  <c r="J14" i="6"/>
  <c r="K14" i="6"/>
  <c r="J6" i="6"/>
  <c r="K6" i="6"/>
  <c r="I12" i="4"/>
  <c r="E26" i="6"/>
  <c r="D23" i="6"/>
  <c r="C26" i="6"/>
  <c r="F12" i="4"/>
  <c r="G11" i="4"/>
  <c r="K22" i="6"/>
  <c r="K23" i="6"/>
  <c r="B5" i="4"/>
  <c r="C5" i="4"/>
  <c r="N73" i="9"/>
  <c r="Q73" i="9"/>
  <c r="F60" i="11"/>
  <c r="H60" i="11"/>
  <c r="J60" i="11"/>
  <c r="D9" i="6"/>
  <c r="E9" i="6"/>
  <c r="D17" i="6"/>
  <c r="E17" i="6"/>
  <c r="D5" i="6"/>
  <c r="E5" i="6"/>
  <c r="E2" i="6"/>
  <c r="D11" i="6"/>
  <c r="E11" i="6"/>
  <c r="E98" i="11"/>
  <c r="K98" i="11"/>
  <c r="M46" i="11"/>
  <c r="D18" i="11"/>
  <c r="O48" i="11"/>
  <c r="C42" i="11"/>
  <c r="J58" i="11"/>
  <c r="H58" i="11"/>
  <c r="G58" i="11"/>
  <c r="D6" i="11"/>
  <c r="E23" i="6"/>
  <c r="E24" i="6"/>
  <c r="D24" i="6"/>
  <c r="B12" i="4"/>
  <c r="K3" i="6"/>
  <c r="K20" i="6"/>
  <c r="J20" i="6"/>
  <c r="I46" i="11"/>
  <c r="D4" i="11"/>
  <c r="O58" i="13"/>
  <c r="O55" i="13"/>
  <c r="O54" i="13"/>
  <c r="M54" i="13"/>
  <c r="K55" i="13"/>
  <c r="L54" i="13"/>
  <c r="E53" i="13"/>
  <c r="F53" i="13"/>
  <c r="F46" i="13"/>
  <c r="F45" i="13"/>
  <c r="N53" i="13"/>
  <c r="N46" i="13"/>
  <c r="N45" i="13"/>
  <c r="I53" i="13"/>
  <c r="I46" i="13"/>
  <c r="I45" i="13"/>
  <c r="D4" i="13"/>
  <c r="G53" i="13"/>
  <c r="G46" i="13"/>
  <c r="G45" i="13"/>
  <c r="L53" i="13"/>
  <c r="L46" i="13"/>
  <c r="L45" i="13"/>
  <c r="D16" i="13"/>
  <c r="K53" i="13"/>
  <c r="K46" i="13"/>
  <c r="K45" i="13"/>
  <c r="M53" i="13"/>
  <c r="M46" i="13"/>
  <c r="M45" i="13"/>
  <c r="D53" i="13"/>
  <c r="L55" i="13"/>
  <c r="C25" i="13"/>
  <c r="B25" i="13"/>
  <c r="O26" i="2"/>
  <c r="B25" i="12"/>
  <c r="N26" i="2" s="1"/>
  <c r="G22" i="1" s="1"/>
  <c r="F22" i="1" s="1"/>
  <c r="H22" i="1" s="1"/>
  <c r="D57" i="11"/>
  <c r="H57" i="11"/>
  <c r="F57" i="11"/>
  <c r="J57" i="11"/>
  <c r="G57" i="11"/>
  <c r="E57" i="11"/>
  <c r="H59" i="11"/>
  <c r="E59" i="11"/>
  <c r="J59" i="11"/>
  <c r="D59" i="11"/>
  <c r="F59" i="11"/>
  <c r="G59" i="11"/>
  <c r="E99" i="11"/>
  <c r="G55" i="11"/>
  <c r="D55" i="11"/>
  <c r="O55" i="11"/>
  <c r="M99" i="11"/>
  <c r="E55" i="11"/>
  <c r="H99" i="11"/>
  <c r="D58" i="11"/>
  <c r="K99" i="11"/>
  <c r="L100" i="11"/>
  <c r="H55" i="11"/>
  <c r="E54" i="11"/>
  <c r="G54" i="11"/>
  <c r="H54" i="11"/>
  <c r="J54" i="11"/>
  <c r="D54" i="11"/>
  <c r="F54" i="11"/>
  <c r="F55" i="11"/>
  <c r="E58" i="11"/>
  <c r="D99" i="11"/>
  <c r="K100" i="11"/>
  <c r="J55" i="11"/>
  <c r="C33" i="11"/>
  <c r="D12" i="10"/>
  <c r="D44" i="10"/>
  <c r="G55" i="10"/>
  <c r="I55" i="10"/>
  <c r="J54" i="10"/>
  <c r="H55" i="10"/>
  <c r="H65" i="10"/>
  <c r="J55" i="10"/>
  <c r="E54" i="10"/>
  <c r="D56" i="10"/>
  <c r="E55" i="10"/>
  <c r="H54" i="10"/>
  <c r="G54" i="10"/>
  <c r="I53" i="10"/>
  <c r="H53" i="10"/>
  <c r="F53" i="10"/>
  <c r="E53" i="10"/>
  <c r="J53" i="10"/>
  <c r="G53" i="10"/>
  <c r="I64" i="10"/>
  <c r="H64" i="10"/>
  <c r="D47" i="10"/>
  <c r="F50" i="9"/>
  <c r="E50" i="9"/>
  <c r="J51" i="9"/>
  <c r="D50" i="9"/>
  <c r="D72" i="9"/>
  <c r="H72" i="9"/>
  <c r="G52" i="9"/>
  <c r="O72" i="9"/>
  <c r="F52" i="9"/>
  <c r="D51" i="9"/>
  <c r="M72" i="9"/>
  <c r="K72" i="9"/>
  <c r="B23" i="16"/>
  <c r="K23" i="2"/>
  <c r="K6" i="2"/>
  <c r="K18" i="2"/>
  <c r="K7" i="2"/>
  <c r="K10" i="2"/>
  <c r="K14" i="2"/>
  <c r="K19" i="2"/>
  <c r="K8" i="2"/>
  <c r="K17" i="2"/>
  <c r="K20" i="2"/>
  <c r="K9" i="2"/>
  <c r="K21" i="2"/>
  <c r="K15" i="2"/>
  <c r="Q26" i="16"/>
  <c r="P28" i="16"/>
  <c r="Q20" i="16" s="1"/>
  <c r="O20" i="16" s="1"/>
  <c r="K5" i="2"/>
  <c r="B25" i="15"/>
  <c r="P26" i="2" s="1"/>
  <c r="G24" i="1" s="1"/>
  <c r="F24" i="1" s="1"/>
  <c r="H24" i="1" s="1"/>
  <c r="D46" i="13"/>
  <c r="D45" i="13"/>
  <c r="E46" i="13"/>
  <c r="E45" i="13"/>
  <c r="O58" i="11"/>
  <c r="O54" i="11"/>
  <c r="O59" i="11"/>
  <c r="O57" i="11"/>
  <c r="D55" i="10"/>
  <c r="D54" i="10"/>
  <c r="D28" i="10"/>
  <c r="D27" i="10"/>
  <c r="D53" i="10"/>
  <c r="T7" i="2"/>
  <c r="R7" i="2" s="1"/>
  <c r="D9" i="17"/>
  <c r="B9" i="17"/>
  <c r="D10" i="17"/>
  <c r="B10" i="17"/>
  <c r="D23" i="17"/>
  <c r="B23" i="17" s="1"/>
  <c r="D13" i="17"/>
  <c r="B13" i="17" s="1"/>
  <c r="D18" i="17"/>
  <c r="B18" i="17"/>
  <c r="D22" i="17"/>
  <c r="B22" i="17"/>
  <c r="D16" i="17"/>
  <c r="B16" i="17" s="1"/>
  <c r="D11" i="17"/>
  <c r="B11" i="17"/>
  <c r="D12" i="17"/>
  <c r="B12" i="17"/>
  <c r="D19" i="17"/>
  <c r="B19" i="17" s="1"/>
  <c r="D8" i="17"/>
  <c r="B8" i="17" s="1"/>
  <c r="D7" i="17"/>
  <c r="B7" i="17" s="1"/>
  <c r="D15" i="17"/>
  <c r="B15" i="17" s="1"/>
  <c r="D14" i="17"/>
  <c r="B14" i="17"/>
  <c r="D6" i="17"/>
  <c r="B6" i="17" s="1"/>
  <c r="D17" i="17"/>
  <c r="B17" i="17" s="1"/>
  <c r="D5" i="17"/>
  <c r="B5" i="17" s="1"/>
  <c r="T11" i="2"/>
  <c r="R11" i="2" s="1"/>
  <c r="T14" i="2"/>
  <c r="R14" i="2" s="1"/>
  <c r="T15" i="2"/>
  <c r="R15" i="2" s="1"/>
  <c r="T6" i="2"/>
  <c r="R6" i="2" s="1"/>
  <c r="T10" i="2"/>
  <c r="R10" i="2" s="1"/>
  <c r="T9" i="2"/>
  <c r="R9" i="2" s="1"/>
  <c r="T23" i="2"/>
  <c r="R23" i="2" s="1"/>
  <c r="T5" i="2"/>
  <c r="R5" i="2" s="1"/>
  <c r="T21" i="2"/>
  <c r="R21" i="2" s="1"/>
  <c r="T19" i="2"/>
  <c r="R19" i="2" s="1"/>
  <c r="T18" i="2"/>
  <c r="R18" i="2" s="1"/>
  <c r="T8" i="2"/>
  <c r="R8" i="2" s="1"/>
  <c r="H25" i="1"/>
  <c r="H22" i="14" l="1"/>
  <c r="H9" i="14"/>
  <c r="H20" i="14"/>
  <c r="G25" i="14"/>
  <c r="C25" i="14" s="1"/>
  <c r="B25" i="14" s="1"/>
  <c r="E26" i="2" s="1"/>
  <c r="G14" i="1" s="1"/>
  <c r="F14" i="1" s="1"/>
  <c r="H14" i="1" s="1"/>
  <c r="H12" i="14"/>
  <c r="H13" i="14"/>
  <c r="C30" i="14" s="1"/>
  <c r="H25" i="14"/>
  <c r="H14" i="14"/>
  <c r="H17" i="14"/>
  <c r="K27" i="14" s="1"/>
  <c r="H4" i="14"/>
  <c r="H16" i="14"/>
  <c r="H6" i="14"/>
  <c r="H7" i="14"/>
  <c r="H18" i="14"/>
  <c r="H8" i="14"/>
  <c r="H19" i="14"/>
  <c r="D22" i="13"/>
  <c r="O45" i="13"/>
  <c r="H20" i="13"/>
  <c r="H8" i="13"/>
  <c r="O52" i="13"/>
  <c r="O46" i="13" s="1"/>
  <c r="F38" i="13" s="1"/>
  <c r="H19" i="13"/>
  <c r="H7" i="13"/>
  <c r="H18" i="13"/>
  <c r="H6" i="13"/>
  <c r="H16" i="13"/>
  <c r="H4" i="13"/>
  <c r="H26" i="13" s="1"/>
  <c r="H13" i="13"/>
  <c r="H22" i="13"/>
  <c r="M26" i="2"/>
  <c r="G21" i="1" s="1"/>
  <c r="F21" i="1" s="1"/>
  <c r="H21" i="1" s="1"/>
  <c r="M16" i="11"/>
  <c r="M20" i="11"/>
  <c r="M12" i="11"/>
  <c r="M19" i="11"/>
  <c r="M27" i="11" s="1"/>
  <c r="S28" i="11"/>
  <c r="M6" i="11"/>
  <c r="C53" i="11"/>
  <c r="M22" i="11"/>
  <c r="I22" i="10"/>
  <c r="I14" i="10"/>
  <c r="I13" i="10"/>
  <c r="C25" i="10"/>
  <c r="B25" i="10" s="1"/>
  <c r="D26" i="2" s="1"/>
  <c r="G10" i="1" s="1"/>
  <c r="F10" i="1" s="1"/>
  <c r="H10" i="1" s="1"/>
  <c r="I7" i="10"/>
  <c r="D30" i="10" s="1"/>
  <c r="I12" i="10"/>
  <c r="I68" i="9"/>
  <c r="J46" i="9" s="1"/>
  <c r="J44" i="9" s="1"/>
  <c r="E9" i="9" s="1"/>
  <c r="C9" i="9" s="1"/>
  <c r="C10" i="2" s="1"/>
  <c r="Q68" i="9"/>
  <c r="R46" i="9" s="1"/>
  <c r="J68" i="9"/>
  <c r="K46" i="9" s="1"/>
  <c r="K44" i="9" s="1"/>
  <c r="E14" i="9" s="1"/>
  <c r="C14" i="9" s="1"/>
  <c r="C15" i="2" s="1"/>
  <c r="D68" i="9"/>
  <c r="E46" i="9" s="1"/>
  <c r="K68" i="9"/>
  <c r="L46" i="9" s="1"/>
  <c r="L44" i="9" s="1"/>
  <c r="H68" i="9"/>
  <c r="I46" i="9" s="1"/>
  <c r="I44" i="9" s="1"/>
  <c r="E8" i="9" s="1"/>
  <c r="C8" i="9" s="1"/>
  <c r="C9" i="2" s="1"/>
  <c r="L68" i="9"/>
  <c r="M46" i="9" s="1"/>
  <c r="M44" i="9" s="1"/>
  <c r="E19" i="9" s="1"/>
  <c r="C19" i="9" s="1"/>
  <c r="C20" i="2" s="1"/>
  <c r="E68" i="9"/>
  <c r="F46" i="9" s="1"/>
  <c r="F44" i="9" s="1"/>
  <c r="E5" i="9" s="1"/>
  <c r="C5" i="9" s="1"/>
  <c r="C6" i="2" s="1"/>
  <c r="M68" i="9"/>
  <c r="N46" i="9" s="1"/>
  <c r="N44" i="9" s="1"/>
  <c r="F68" i="9"/>
  <c r="G46" i="9" s="1"/>
  <c r="G44" i="9" s="1"/>
  <c r="N68" i="9"/>
  <c r="O46" i="9" s="1"/>
  <c r="G68" i="9"/>
  <c r="H46" i="9" s="1"/>
  <c r="O68" i="9"/>
  <c r="P46" i="9" s="1"/>
  <c r="P44" i="9" s="1"/>
  <c r="P68" i="9"/>
  <c r="Q46" i="9" s="1"/>
  <c r="Q44" i="9" s="1"/>
  <c r="E20" i="9" s="1"/>
  <c r="C20" i="9" s="1"/>
  <c r="C21" i="2" s="1"/>
  <c r="R44" i="9"/>
  <c r="E22" i="9" s="1"/>
  <c r="C22" i="9" s="1"/>
  <c r="H45" i="9"/>
  <c r="H44" i="9" s="1"/>
  <c r="E7" i="9" s="1"/>
  <c r="C7" i="9" s="1"/>
  <c r="C8" i="2" s="1"/>
  <c r="N87" i="9"/>
  <c r="O45" i="9" s="1"/>
  <c r="G87" i="9"/>
  <c r="D78" i="9"/>
  <c r="E45" i="9" s="1"/>
  <c r="E26" i="12"/>
  <c r="G8" i="15"/>
  <c r="G12" i="15"/>
  <c r="G25" i="15"/>
  <c r="F25" i="15" s="1"/>
  <c r="Q26" i="2" s="1"/>
  <c r="G23" i="1" s="1"/>
  <c r="F23" i="1" s="1"/>
  <c r="H23" i="1" s="1"/>
  <c r="G4" i="15"/>
  <c r="G26" i="15" s="1"/>
  <c r="H32" i="15"/>
  <c r="G16" i="15"/>
  <c r="C4" i="15"/>
  <c r="C26" i="15" s="1"/>
  <c r="C13" i="15"/>
  <c r="C22" i="15"/>
  <c r="C9" i="15"/>
  <c r="C19" i="15"/>
  <c r="C8" i="15"/>
  <c r="G22" i="15"/>
  <c r="G9" i="15"/>
  <c r="G18" i="15"/>
  <c r="G7" i="15"/>
  <c r="G17" i="15"/>
  <c r="G6" i="15"/>
  <c r="G14" i="15"/>
  <c r="D28" i="16"/>
  <c r="K26" i="16"/>
  <c r="K12" i="16" s="1"/>
  <c r="I12" i="16" s="1"/>
  <c r="D26" i="17"/>
  <c r="D4" i="17" s="1"/>
  <c r="D27" i="17" s="1"/>
  <c r="V27" i="2"/>
  <c r="J28" i="16"/>
  <c r="K11" i="16" s="1"/>
  <c r="I11" i="16" s="1"/>
  <c r="B21" i="17"/>
  <c r="C27" i="17"/>
  <c r="G27" i="12"/>
  <c r="B20" i="17"/>
  <c r="Q14" i="16"/>
  <c r="O14" i="16" s="1"/>
  <c r="Q6" i="16"/>
  <c r="O6" i="16" s="1"/>
  <c r="Q15" i="16"/>
  <c r="O15" i="16" s="1"/>
  <c r="C29" i="12"/>
  <c r="D22" i="12" s="1"/>
  <c r="B22" i="12" s="1"/>
  <c r="N23" i="2" s="1"/>
  <c r="C26" i="12"/>
  <c r="Q12" i="16"/>
  <c r="O12" i="16" s="1"/>
  <c r="K6" i="16"/>
  <c r="I6" i="16" s="1"/>
  <c r="M28" i="11"/>
  <c r="K14" i="16"/>
  <c r="I14" i="16" s="1"/>
  <c r="K20" i="16"/>
  <c r="I20" i="16" s="1"/>
  <c r="H26" i="16"/>
  <c r="H11" i="16" s="1"/>
  <c r="F11" i="16" s="1"/>
  <c r="E26" i="16"/>
  <c r="B8" i="16"/>
  <c r="AA11" i="2" s="1"/>
  <c r="K27" i="2"/>
  <c r="AD27" i="2"/>
  <c r="H26" i="17"/>
  <c r="H17" i="17" s="1"/>
  <c r="F17" i="17" s="1"/>
  <c r="I18" i="2" s="1"/>
  <c r="G26" i="17"/>
  <c r="G27" i="17"/>
  <c r="C31" i="11"/>
  <c r="N20" i="11" s="1"/>
  <c r="L20" i="11" s="1"/>
  <c r="C20" i="11" s="1"/>
  <c r="B20" i="11" s="1"/>
  <c r="B4" i="16"/>
  <c r="AA7" i="2" s="1"/>
  <c r="B22" i="16"/>
  <c r="AA25" i="2" s="1"/>
  <c r="B18" i="16"/>
  <c r="AA21" i="2" s="1"/>
  <c r="B13" i="16"/>
  <c r="AA16" i="2" s="1"/>
  <c r="S27" i="2"/>
  <c r="V29" i="2"/>
  <c r="W13" i="2" s="1"/>
  <c r="U13" i="2" s="1"/>
  <c r="B9" i="16"/>
  <c r="AA12" i="2" s="1"/>
  <c r="B19" i="16"/>
  <c r="AA22" i="2" s="1"/>
  <c r="B21" i="16"/>
  <c r="AA24" i="2" s="1"/>
  <c r="B10" i="16"/>
  <c r="AA13" i="2" s="1"/>
  <c r="B3" i="16"/>
  <c r="AA6" i="2" s="1"/>
  <c r="M28" i="16"/>
  <c r="K29" i="2"/>
  <c r="L15" i="2" s="1"/>
  <c r="J15" i="2" s="1"/>
  <c r="B2" i="16"/>
  <c r="AA5" i="2" s="1"/>
  <c r="H29" i="15"/>
  <c r="D29" i="15"/>
  <c r="S29" i="2"/>
  <c r="M22" i="2"/>
  <c r="N26" i="16"/>
  <c r="AD28" i="2"/>
  <c r="M6" i="2"/>
  <c r="M24" i="2"/>
  <c r="M12" i="2"/>
  <c r="M25" i="2"/>
  <c r="M11" i="2"/>
  <c r="M16" i="2"/>
  <c r="Z5" i="2"/>
  <c r="X5" i="2" s="1"/>
  <c r="Y29" i="2"/>
  <c r="Y27" i="2"/>
  <c r="R27" i="2"/>
  <c r="R29" i="2" s="1"/>
  <c r="G29" i="2"/>
  <c r="G27" i="2"/>
  <c r="F30" i="13"/>
  <c r="C29" i="9"/>
  <c r="G16" i="1"/>
  <c r="D27" i="1"/>
  <c r="H11" i="1"/>
  <c r="J11" i="1"/>
  <c r="J16" i="1" s="1"/>
  <c r="J19" i="1"/>
  <c r="E19" i="1"/>
  <c r="H20" i="1"/>
  <c r="G27" i="1"/>
  <c r="B26" i="2"/>
  <c r="W21" i="2"/>
  <c r="U21" i="2" s="1"/>
  <c r="D11" i="14"/>
  <c r="B11" i="14" s="1"/>
  <c r="E12" i="2" s="1"/>
  <c r="D10" i="14"/>
  <c r="B10" i="14" s="1"/>
  <c r="E11" i="2" s="1"/>
  <c r="D15" i="14"/>
  <c r="B15" i="14" s="1"/>
  <c r="E16" i="2" s="1"/>
  <c r="D23" i="14"/>
  <c r="B23" i="14" s="1"/>
  <c r="E24" i="2" s="1"/>
  <c r="D5" i="14"/>
  <c r="B5" i="14" s="1"/>
  <c r="E6" i="2" s="1"/>
  <c r="D21" i="14"/>
  <c r="B21" i="14" s="1"/>
  <c r="E22" i="2" s="1"/>
  <c r="E6" i="16" l="1"/>
  <c r="C6" i="16" s="1"/>
  <c r="E17" i="16"/>
  <c r="C17" i="16" s="1"/>
  <c r="B17" i="16" s="1"/>
  <c r="AA20" i="2" s="1"/>
  <c r="E20" i="16"/>
  <c r="C20" i="16" s="1"/>
  <c r="E15" i="16"/>
  <c r="C15" i="16" s="1"/>
  <c r="C16" i="16"/>
  <c r="B16" i="16" s="1"/>
  <c r="AA19" i="2" s="1"/>
  <c r="H27" i="13"/>
  <c r="D26" i="13"/>
  <c r="D27" i="13"/>
  <c r="H53" i="11"/>
  <c r="H47" i="11" s="1"/>
  <c r="H46" i="11" s="1"/>
  <c r="D22" i="11" s="1"/>
  <c r="J53" i="11"/>
  <c r="J47" i="11" s="1"/>
  <c r="J46" i="11" s="1"/>
  <c r="D14" i="11" s="1"/>
  <c r="D53" i="11"/>
  <c r="E53" i="11"/>
  <c r="E47" i="11" s="1"/>
  <c r="E46" i="11" s="1"/>
  <c r="D7" i="11" s="1"/>
  <c r="G53" i="11"/>
  <c r="G47" i="11" s="1"/>
  <c r="G46" i="11" s="1"/>
  <c r="D8" i="11" s="1"/>
  <c r="F53" i="11"/>
  <c r="F47" i="11" s="1"/>
  <c r="F46" i="11" s="1"/>
  <c r="D13" i="11" s="1"/>
  <c r="R18" i="11"/>
  <c r="R7" i="11"/>
  <c r="R17" i="11"/>
  <c r="R6" i="11"/>
  <c r="R16" i="11"/>
  <c r="R4" i="11"/>
  <c r="R14" i="11"/>
  <c r="R13" i="11"/>
  <c r="R8" i="11"/>
  <c r="R22" i="11"/>
  <c r="R12" i="11"/>
  <c r="R19" i="11"/>
  <c r="R20" i="11"/>
  <c r="R9" i="11"/>
  <c r="I27" i="10"/>
  <c r="J7" i="10" s="1"/>
  <c r="H7" i="10" s="1"/>
  <c r="C7" i="10" s="1"/>
  <c r="B7" i="10" s="1"/>
  <c r="D8" i="2" s="1"/>
  <c r="D46" i="9"/>
  <c r="D45" i="9"/>
  <c r="E44" i="9"/>
  <c r="E6" i="9"/>
  <c r="C6" i="9" s="1"/>
  <c r="C7" i="2" s="1"/>
  <c r="E13" i="9"/>
  <c r="C13" i="9" s="1"/>
  <c r="C14" i="2" s="1"/>
  <c r="O44" i="9"/>
  <c r="E18" i="9" s="1"/>
  <c r="C18" i="9" s="1"/>
  <c r="C19" i="2" s="1"/>
  <c r="E17" i="9"/>
  <c r="C17" i="9" s="1"/>
  <c r="C18" i="2" s="1"/>
  <c r="E16" i="9"/>
  <c r="C16" i="9" s="1"/>
  <c r="C17" i="2" s="1"/>
  <c r="D7" i="12"/>
  <c r="B7" i="12" s="1"/>
  <c r="N8" i="2" s="1"/>
  <c r="D13" i="12"/>
  <c r="B13" i="12" s="1"/>
  <c r="N14" i="2" s="1"/>
  <c r="D8" i="12"/>
  <c r="B8" i="12" s="1"/>
  <c r="N9" i="2" s="1"/>
  <c r="D20" i="12"/>
  <c r="B20" i="12" s="1"/>
  <c r="N21" i="2" s="1"/>
  <c r="D9" i="12"/>
  <c r="B9" i="12" s="1"/>
  <c r="N10" i="2" s="1"/>
  <c r="D12" i="12"/>
  <c r="B12" i="12" s="1"/>
  <c r="N13" i="2" s="1"/>
  <c r="H27" i="15"/>
  <c r="H14" i="15" s="1"/>
  <c r="F14" i="15" s="1"/>
  <c r="Q15" i="2" s="1"/>
  <c r="D27" i="15"/>
  <c r="D9" i="15" s="1"/>
  <c r="B9" i="15" s="1"/>
  <c r="P10" i="2" s="1"/>
  <c r="K15" i="16"/>
  <c r="I15" i="16" s="1"/>
  <c r="D19" i="12"/>
  <c r="B19" i="12" s="1"/>
  <c r="N20" i="2" s="1"/>
  <c r="D17" i="12"/>
  <c r="B17" i="12" s="1"/>
  <c r="N18" i="2" s="1"/>
  <c r="B4" i="17"/>
  <c r="B27" i="17" s="1"/>
  <c r="AE9" i="2"/>
  <c r="AC9" i="2" s="1"/>
  <c r="L17" i="2"/>
  <c r="J17" i="2" s="1"/>
  <c r="D14" i="12"/>
  <c r="B14" i="12" s="1"/>
  <c r="N15" i="2" s="1"/>
  <c r="D16" i="12"/>
  <c r="B16" i="12" s="1"/>
  <c r="N17" i="2" s="1"/>
  <c r="O25" i="16"/>
  <c r="N19" i="11"/>
  <c r="L19" i="11" s="1"/>
  <c r="C19" i="11" s="1"/>
  <c r="B19" i="11" s="1"/>
  <c r="P27" i="16"/>
  <c r="N4" i="11"/>
  <c r="L4" i="11" s="1"/>
  <c r="N16" i="11"/>
  <c r="L16" i="11" s="1"/>
  <c r="C16" i="11" s="1"/>
  <c r="B16" i="11" s="1"/>
  <c r="N7" i="11"/>
  <c r="L7" i="11" s="1"/>
  <c r="C7" i="11" s="1"/>
  <c r="B7" i="11" s="1"/>
  <c r="I25" i="16"/>
  <c r="N12" i="11"/>
  <c r="L12" i="11" s="1"/>
  <c r="C12" i="11" s="1"/>
  <c r="B12" i="11" s="1"/>
  <c r="D18" i="12"/>
  <c r="B18" i="12" s="1"/>
  <c r="N19" i="2" s="1"/>
  <c r="N17" i="11"/>
  <c r="L17" i="11" s="1"/>
  <c r="C17" i="11" s="1"/>
  <c r="E12" i="16"/>
  <c r="C12" i="16" s="1"/>
  <c r="D4" i="12"/>
  <c r="B4" i="12" s="1"/>
  <c r="N5" i="2" s="1"/>
  <c r="N8" i="11"/>
  <c r="L8" i="11" s="1"/>
  <c r="C8" i="11" s="1"/>
  <c r="B8" i="11" s="1"/>
  <c r="N13" i="11"/>
  <c r="L13" i="11" s="1"/>
  <c r="C13" i="11" s="1"/>
  <c r="B13" i="11" s="1"/>
  <c r="E11" i="16"/>
  <c r="C11" i="16" s="1"/>
  <c r="D6" i="12"/>
  <c r="B6" i="12" s="1"/>
  <c r="N7" i="2" s="1"/>
  <c r="N14" i="11"/>
  <c r="L14" i="11" s="1"/>
  <c r="C14" i="11" s="1"/>
  <c r="B14" i="11" s="1"/>
  <c r="E7" i="16"/>
  <c r="C7" i="16" s="1"/>
  <c r="B7" i="16" s="1"/>
  <c r="AA10" i="2" s="1"/>
  <c r="I4" i="13"/>
  <c r="G4" i="13" s="1"/>
  <c r="C4" i="13" s="1"/>
  <c r="H4" i="15"/>
  <c r="F4" i="15" s="1"/>
  <c r="Q5" i="2" s="1"/>
  <c r="H13" i="15"/>
  <c r="F13" i="15" s="1"/>
  <c r="Q14" i="2" s="1"/>
  <c r="J27" i="16"/>
  <c r="N18" i="11"/>
  <c r="L18" i="11" s="1"/>
  <c r="C18" i="11" s="1"/>
  <c r="B18" i="11" s="1"/>
  <c r="H16" i="15"/>
  <c r="F16" i="15" s="1"/>
  <c r="Q17" i="2" s="1"/>
  <c r="H7" i="15"/>
  <c r="F7" i="15" s="1"/>
  <c r="Q8" i="2" s="1"/>
  <c r="E5" i="16"/>
  <c r="C5" i="16" s="1"/>
  <c r="E14" i="16"/>
  <c r="C14" i="16" s="1"/>
  <c r="AE13" i="2"/>
  <c r="AC13" i="2" s="1"/>
  <c r="L11" i="2"/>
  <c r="J11" i="2" s="1"/>
  <c r="W19" i="2"/>
  <c r="U19" i="2" s="1"/>
  <c r="AE15" i="2"/>
  <c r="AC15" i="2" s="1"/>
  <c r="L5" i="2"/>
  <c r="J5" i="2" s="1"/>
  <c r="L18" i="2"/>
  <c r="J18" i="2" s="1"/>
  <c r="L8" i="2"/>
  <c r="J8" i="2" s="1"/>
  <c r="W17" i="2"/>
  <c r="U17" i="2" s="1"/>
  <c r="B25" i="2"/>
  <c r="L19" i="2"/>
  <c r="J19" i="2" s="1"/>
  <c r="H20" i="16"/>
  <c r="F20" i="16" s="1"/>
  <c r="H15" i="16"/>
  <c r="F15" i="16" s="1"/>
  <c r="H12" i="16"/>
  <c r="F12" i="16" s="1"/>
  <c r="H6" i="16"/>
  <c r="H14" i="16"/>
  <c r="F14" i="16" s="1"/>
  <c r="AE17" i="2"/>
  <c r="AC17" i="2" s="1"/>
  <c r="H12" i="17"/>
  <c r="F12" i="17" s="1"/>
  <c r="I13" i="2" s="1"/>
  <c r="H22" i="17"/>
  <c r="F22" i="17" s="1"/>
  <c r="I23" i="2" s="1"/>
  <c r="H21" i="17"/>
  <c r="F21" i="17" s="1"/>
  <c r="I22" i="2" s="1"/>
  <c r="B22" i="2" s="1"/>
  <c r="H10" i="17"/>
  <c r="F10" i="17" s="1"/>
  <c r="I11" i="2" s="1"/>
  <c r="H13" i="17"/>
  <c r="F13" i="17" s="1"/>
  <c r="I14" i="2" s="1"/>
  <c r="H6" i="17"/>
  <c r="F6" i="17" s="1"/>
  <c r="I7" i="2" s="1"/>
  <c r="H19" i="17"/>
  <c r="F19" i="17" s="1"/>
  <c r="I20" i="2" s="1"/>
  <c r="H14" i="17"/>
  <c r="F14" i="17" s="1"/>
  <c r="I15" i="2" s="1"/>
  <c r="L23" i="2"/>
  <c r="J23" i="2" s="1"/>
  <c r="H8" i="17"/>
  <c r="F8" i="17" s="1"/>
  <c r="I9" i="2" s="1"/>
  <c r="H5" i="17"/>
  <c r="F5" i="17" s="1"/>
  <c r="I6" i="2" s="1"/>
  <c r="N9" i="11"/>
  <c r="L9" i="11" s="1"/>
  <c r="C9" i="11" s="1"/>
  <c r="B9" i="11" s="1"/>
  <c r="L6" i="2"/>
  <c r="J6" i="2" s="1"/>
  <c r="H20" i="17"/>
  <c r="F20" i="17" s="1"/>
  <c r="I21" i="2" s="1"/>
  <c r="H18" i="17"/>
  <c r="F18" i="17" s="1"/>
  <c r="I19" i="2" s="1"/>
  <c r="H11" i="17"/>
  <c r="F11" i="17" s="1"/>
  <c r="I12" i="2" s="1"/>
  <c r="B12" i="2" s="1"/>
  <c r="I20" i="14"/>
  <c r="G20" i="14" s="1"/>
  <c r="C20" i="14" s="1"/>
  <c r="D20" i="14" s="1"/>
  <c r="B20" i="14" s="1"/>
  <c r="E21" i="2" s="1"/>
  <c r="N6" i="11"/>
  <c r="L6" i="11" s="1"/>
  <c r="C6" i="11" s="1"/>
  <c r="B6" i="11" s="1"/>
  <c r="N22" i="11"/>
  <c r="L22" i="11" s="1"/>
  <c r="C22" i="11" s="1"/>
  <c r="B22" i="11" s="1"/>
  <c r="H23" i="17"/>
  <c r="F23" i="17" s="1"/>
  <c r="I24" i="2" s="1"/>
  <c r="H4" i="17"/>
  <c r="F4" i="17" s="1"/>
  <c r="H16" i="17"/>
  <c r="F16" i="17" s="1"/>
  <c r="I17" i="2" s="1"/>
  <c r="H9" i="17"/>
  <c r="F9" i="17" s="1"/>
  <c r="I10" i="2" s="1"/>
  <c r="D12" i="15"/>
  <c r="B12" i="15" s="1"/>
  <c r="P13" i="2" s="1"/>
  <c r="D16" i="15"/>
  <c r="B16" i="15" s="1"/>
  <c r="P17" i="2" s="1"/>
  <c r="D7" i="15"/>
  <c r="B7" i="15" s="1"/>
  <c r="P8" i="2" s="1"/>
  <c r="D8" i="15"/>
  <c r="B8" i="15" s="1"/>
  <c r="P9" i="2" s="1"/>
  <c r="D4" i="15"/>
  <c r="B4" i="15" s="1"/>
  <c r="D19" i="15"/>
  <c r="B19" i="15" s="1"/>
  <c r="P20" i="2" s="1"/>
  <c r="H15" i="17"/>
  <c r="F15" i="17" s="1"/>
  <c r="I16" i="2" s="1"/>
  <c r="B16" i="2" s="1"/>
  <c r="L10" i="2"/>
  <c r="J10" i="2" s="1"/>
  <c r="L7" i="2"/>
  <c r="J7" i="2" s="1"/>
  <c r="H7" i="17"/>
  <c r="F7" i="17" s="1"/>
  <c r="I8" i="2" s="1"/>
  <c r="W18" i="2"/>
  <c r="U18" i="2" s="1"/>
  <c r="H19" i="15"/>
  <c r="F19" i="15" s="1"/>
  <c r="Q20" i="2" s="1"/>
  <c r="W7" i="2"/>
  <c r="U7" i="2" s="1"/>
  <c r="H22" i="15"/>
  <c r="F22" i="15" s="1"/>
  <c r="Q23" i="2" s="1"/>
  <c r="W20" i="2"/>
  <c r="U20" i="2" s="1"/>
  <c r="H12" i="15"/>
  <c r="F12" i="15" s="1"/>
  <c r="Q13" i="2" s="1"/>
  <c r="H6" i="15"/>
  <c r="F6" i="15" s="1"/>
  <c r="Q7" i="2" s="1"/>
  <c r="H17" i="15"/>
  <c r="F17" i="15" s="1"/>
  <c r="Q18" i="2" s="1"/>
  <c r="W5" i="2"/>
  <c r="U5" i="2" s="1"/>
  <c r="W10" i="2"/>
  <c r="U10" i="2" s="1"/>
  <c r="W8" i="2"/>
  <c r="U8" i="2" s="1"/>
  <c r="W14" i="2"/>
  <c r="U14" i="2" s="1"/>
  <c r="D22" i="15"/>
  <c r="B22" i="15" s="1"/>
  <c r="P23" i="2" s="1"/>
  <c r="H9" i="15"/>
  <c r="F9" i="15" s="1"/>
  <c r="Q10" i="2" s="1"/>
  <c r="W9" i="2"/>
  <c r="U9" i="2" s="1"/>
  <c r="W15" i="2"/>
  <c r="U15" i="2" s="1"/>
  <c r="D14" i="15"/>
  <c r="B14" i="15" s="1"/>
  <c r="P15" i="2" s="1"/>
  <c r="H8" i="15"/>
  <c r="F8" i="15" s="1"/>
  <c r="Q9" i="2" s="1"/>
  <c r="N5" i="16"/>
  <c r="L5" i="16" s="1"/>
  <c r="I7" i="14"/>
  <c r="G7" i="14" s="1"/>
  <c r="C7" i="14" s="1"/>
  <c r="D7" i="14" s="1"/>
  <c r="B7" i="14" s="1"/>
  <c r="E8" i="2" s="1"/>
  <c r="L9" i="2"/>
  <c r="J9" i="2" s="1"/>
  <c r="L14" i="2"/>
  <c r="J14" i="2" s="1"/>
  <c r="AE8" i="2"/>
  <c r="AC8" i="2" s="1"/>
  <c r="D13" i="15"/>
  <c r="B13" i="15" s="1"/>
  <c r="P14" i="2" s="1"/>
  <c r="AE23" i="2"/>
  <c r="AC23" i="2" s="1"/>
  <c r="D18" i="15"/>
  <c r="B18" i="15" s="1"/>
  <c r="P19" i="2" s="1"/>
  <c r="D6" i="15"/>
  <c r="B6" i="15" s="1"/>
  <c r="P7" i="2" s="1"/>
  <c r="AE14" i="2"/>
  <c r="AC14" i="2" s="1"/>
  <c r="AE18" i="2"/>
  <c r="AC18" i="2" s="1"/>
  <c r="D17" i="15"/>
  <c r="B17" i="15" s="1"/>
  <c r="P18" i="2" s="1"/>
  <c r="N14" i="16"/>
  <c r="L14" i="16" s="1"/>
  <c r="N11" i="16"/>
  <c r="L11" i="16" s="1"/>
  <c r="N15" i="16"/>
  <c r="L15" i="16" s="1"/>
  <c r="N6" i="16"/>
  <c r="L6" i="16" s="1"/>
  <c r="N12" i="16"/>
  <c r="L12" i="16" s="1"/>
  <c r="N20" i="16"/>
  <c r="L20" i="16" s="1"/>
  <c r="L20" i="2"/>
  <c r="J20" i="2" s="1"/>
  <c r="AE5" i="2"/>
  <c r="AC5" i="2" s="1"/>
  <c r="L21" i="2"/>
  <c r="J21" i="2" s="1"/>
  <c r="I22" i="14"/>
  <c r="G22" i="14" s="1"/>
  <c r="C22" i="14" s="1"/>
  <c r="D22" i="14" s="1"/>
  <c r="I13" i="14"/>
  <c r="G13" i="14" s="1"/>
  <c r="C13" i="14" s="1"/>
  <c r="D13" i="14" s="1"/>
  <c r="B13" i="14" s="1"/>
  <c r="E14" i="2" s="1"/>
  <c r="I4" i="14"/>
  <c r="G4" i="14" s="1"/>
  <c r="I18" i="14"/>
  <c r="G18" i="14" s="1"/>
  <c r="C18" i="14" s="1"/>
  <c r="D18" i="14" s="1"/>
  <c r="B18" i="14" s="1"/>
  <c r="E19" i="2" s="1"/>
  <c r="I16" i="13"/>
  <c r="G16" i="13" s="1"/>
  <c r="C16" i="13" s="1"/>
  <c r="B16" i="13" s="1"/>
  <c r="O17" i="2" s="1"/>
  <c r="I17" i="14"/>
  <c r="G17" i="14" s="1"/>
  <c r="C17" i="14" s="1"/>
  <c r="D17" i="14" s="1"/>
  <c r="B17" i="14" s="1"/>
  <c r="E18" i="2" s="1"/>
  <c r="I12" i="14"/>
  <c r="G12" i="14" s="1"/>
  <c r="C12" i="14" s="1"/>
  <c r="D12" i="14" s="1"/>
  <c r="B12" i="14" s="1"/>
  <c r="E13" i="2" s="1"/>
  <c r="I9" i="14"/>
  <c r="G9" i="14" s="1"/>
  <c r="C9" i="14" s="1"/>
  <c r="D9" i="14" s="1"/>
  <c r="B9" i="14" s="1"/>
  <c r="E10" i="2" s="1"/>
  <c r="I19" i="14"/>
  <c r="G19" i="14" s="1"/>
  <c r="C19" i="14" s="1"/>
  <c r="D19" i="14" s="1"/>
  <c r="B19" i="14" s="1"/>
  <c r="E20" i="2" s="1"/>
  <c r="I6" i="14"/>
  <c r="G6" i="14" s="1"/>
  <c r="C6" i="14" s="1"/>
  <c r="D6" i="14" s="1"/>
  <c r="B6" i="14" s="1"/>
  <c r="E7" i="2" s="1"/>
  <c r="I8" i="14"/>
  <c r="G8" i="14" s="1"/>
  <c r="C8" i="14" s="1"/>
  <c r="D8" i="14" s="1"/>
  <c r="B8" i="14" s="1"/>
  <c r="E9" i="2" s="1"/>
  <c r="I16" i="14"/>
  <c r="G16" i="14" s="1"/>
  <c r="C16" i="14" s="1"/>
  <c r="D16" i="14" s="1"/>
  <c r="I14" i="14"/>
  <c r="G14" i="14" s="1"/>
  <c r="C14" i="14" s="1"/>
  <c r="D14" i="14" s="1"/>
  <c r="B14" i="14" s="1"/>
  <c r="E15" i="2" s="1"/>
  <c r="I19" i="13"/>
  <c r="G19" i="13" s="1"/>
  <c r="C19" i="13" s="1"/>
  <c r="B19" i="13" s="1"/>
  <c r="O20" i="2" s="1"/>
  <c r="I6" i="13"/>
  <c r="G6" i="13" s="1"/>
  <c r="C6" i="13" s="1"/>
  <c r="B6" i="13" s="1"/>
  <c r="O7" i="2" s="1"/>
  <c r="H10" i="2"/>
  <c r="F10" i="2" s="1"/>
  <c r="H14" i="2"/>
  <c r="F14" i="2" s="1"/>
  <c r="H18" i="2"/>
  <c r="F18" i="2" s="1"/>
  <c r="H7" i="2"/>
  <c r="F7" i="2" s="1"/>
  <c r="H15" i="2"/>
  <c r="F15" i="2" s="1"/>
  <c r="H19" i="2"/>
  <c r="F19" i="2" s="1"/>
  <c r="H23" i="2"/>
  <c r="F23" i="2" s="1"/>
  <c r="H8" i="2"/>
  <c r="F8" i="2" s="1"/>
  <c r="H20" i="2"/>
  <c r="F20" i="2" s="1"/>
  <c r="H13" i="2"/>
  <c r="F13" i="2" s="1"/>
  <c r="H17" i="2"/>
  <c r="F17" i="2" s="1"/>
  <c r="H5" i="2"/>
  <c r="F5" i="2" s="1"/>
  <c r="H21" i="2"/>
  <c r="F21" i="2" s="1"/>
  <c r="H9" i="2"/>
  <c r="F9" i="2" s="1"/>
  <c r="I14" i="13"/>
  <c r="G14" i="13" s="1"/>
  <c r="C14" i="13" s="1"/>
  <c r="B14" i="13" s="1"/>
  <c r="O15" i="2" s="1"/>
  <c r="I22" i="13"/>
  <c r="G22" i="13" s="1"/>
  <c r="C22" i="13" s="1"/>
  <c r="B22" i="13" s="1"/>
  <c r="O23" i="2" s="1"/>
  <c r="I7" i="13"/>
  <c r="G7" i="13" s="1"/>
  <c r="C7" i="13" s="1"/>
  <c r="B7" i="13" s="1"/>
  <c r="O8" i="2" s="1"/>
  <c r="I13" i="13"/>
  <c r="G13" i="13" s="1"/>
  <c r="C13" i="13" s="1"/>
  <c r="B13" i="13" s="1"/>
  <c r="O14" i="2" s="1"/>
  <c r="I18" i="13"/>
  <c r="G18" i="13" s="1"/>
  <c r="C18" i="13" s="1"/>
  <c r="B18" i="13" s="1"/>
  <c r="O19" i="2" s="1"/>
  <c r="I17" i="13"/>
  <c r="G17" i="13" s="1"/>
  <c r="C17" i="13" s="1"/>
  <c r="B17" i="13" s="1"/>
  <c r="O18" i="2" s="1"/>
  <c r="I20" i="13"/>
  <c r="G20" i="13" s="1"/>
  <c r="C20" i="13" s="1"/>
  <c r="B20" i="13" s="1"/>
  <c r="O21" i="2" s="1"/>
  <c r="I9" i="13"/>
  <c r="G9" i="13" s="1"/>
  <c r="C9" i="13" s="1"/>
  <c r="B9" i="13" s="1"/>
  <c r="O10" i="2" s="1"/>
  <c r="I8" i="13"/>
  <c r="G8" i="13" s="1"/>
  <c r="C8" i="13" s="1"/>
  <c r="B8" i="13" s="1"/>
  <c r="O9" i="2" s="1"/>
  <c r="G33" i="1"/>
  <c r="H19" i="1"/>
  <c r="B11" i="16" l="1"/>
  <c r="AA14" i="2" s="1"/>
  <c r="R27" i="11"/>
  <c r="R28" i="11"/>
  <c r="H31" i="11"/>
  <c r="S20" i="11" s="1"/>
  <c r="Q20" i="11" s="1"/>
  <c r="H20" i="11" s="1"/>
  <c r="G20" i="11" s="1"/>
  <c r="M21" i="2" s="1"/>
  <c r="B21" i="2" s="1"/>
  <c r="D47" i="11"/>
  <c r="D46" i="11" s="1"/>
  <c r="O53" i="11"/>
  <c r="O47" i="11" s="1"/>
  <c r="J14" i="10"/>
  <c r="H14" i="10" s="1"/>
  <c r="C14" i="10" s="1"/>
  <c r="B14" i="10" s="1"/>
  <c r="D15" i="2" s="1"/>
  <c r="J8" i="10"/>
  <c r="H8" i="10" s="1"/>
  <c r="C8" i="10" s="1"/>
  <c r="B8" i="10" s="1"/>
  <c r="D9" i="2" s="1"/>
  <c r="J13" i="10"/>
  <c r="H13" i="10" s="1"/>
  <c r="C13" i="10" s="1"/>
  <c r="B13" i="10" s="1"/>
  <c r="D14" i="2" s="1"/>
  <c r="J4" i="10"/>
  <c r="J17" i="10"/>
  <c r="H17" i="10" s="1"/>
  <c r="C17" i="10" s="1"/>
  <c r="B17" i="10" s="1"/>
  <c r="D18" i="2" s="1"/>
  <c r="J22" i="10"/>
  <c r="H22" i="10" s="1"/>
  <c r="C22" i="10" s="1"/>
  <c r="B22" i="10" s="1"/>
  <c r="D23" i="2" s="1"/>
  <c r="J12" i="10"/>
  <c r="H12" i="10" s="1"/>
  <c r="C12" i="10" s="1"/>
  <c r="B12" i="10" s="1"/>
  <c r="D13" i="2" s="1"/>
  <c r="E4" i="9"/>
  <c r="D44" i="9"/>
  <c r="D40" i="9" s="1"/>
  <c r="C27" i="9" s="1"/>
  <c r="D9" i="1" s="1"/>
  <c r="D16" i="1" s="1"/>
  <c r="D33" i="1" s="1"/>
  <c r="H18" i="15"/>
  <c r="F18" i="15" s="1"/>
  <c r="Q19" i="2" s="1"/>
  <c r="J29" i="2"/>
  <c r="N27" i="2"/>
  <c r="N29" i="2" s="1"/>
  <c r="B14" i="16"/>
  <c r="AA17" i="2" s="1"/>
  <c r="D26" i="12"/>
  <c r="B26" i="12"/>
  <c r="B6" i="2"/>
  <c r="C25" i="16"/>
  <c r="B12" i="16"/>
  <c r="AA15" i="2" s="1"/>
  <c r="B20" i="16"/>
  <c r="AA23" i="2" s="1"/>
  <c r="B11" i="2"/>
  <c r="N27" i="11"/>
  <c r="B15" i="16"/>
  <c r="AA18" i="2" s="1"/>
  <c r="U27" i="2"/>
  <c r="U29" i="2" s="1"/>
  <c r="F6" i="16"/>
  <c r="F25" i="16" s="1"/>
  <c r="G27" i="16"/>
  <c r="D27" i="16"/>
  <c r="H27" i="17"/>
  <c r="H26" i="15"/>
  <c r="Q27" i="2"/>
  <c r="F26" i="15"/>
  <c r="B22" i="14"/>
  <c r="E23" i="2" s="1"/>
  <c r="AC27" i="2"/>
  <c r="AC29" i="2" s="1"/>
  <c r="B16" i="14"/>
  <c r="E17" i="2" s="1"/>
  <c r="B5" i="16"/>
  <c r="AA8" i="2" s="1"/>
  <c r="L25" i="16"/>
  <c r="AE29" i="2"/>
  <c r="D26" i="15"/>
  <c r="M27" i="16"/>
  <c r="H26" i="14"/>
  <c r="I5" i="2"/>
  <c r="I27" i="2" s="1"/>
  <c r="I29" i="2" s="1"/>
  <c r="F27" i="17"/>
  <c r="P5" i="2"/>
  <c r="P27" i="2" s="1"/>
  <c r="P29" i="2" s="1"/>
  <c r="B26" i="15"/>
  <c r="L27" i="11"/>
  <c r="L29" i="11"/>
  <c r="C4" i="11"/>
  <c r="G29" i="13"/>
  <c r="F27" i="2"/>
  <c r="F29" i="2" s="1"/>
  <c r="B4" i="13"/>
  <c r="C26" i="13"/>
  <c r="B26" i="13" s="1"/>
  <c r="C27" i="13"/>
  <c r="G26" i="13"/>
  <c r="G26" i="14"/>
  <c r="C4" i="14"/>
  <c r="S6" i="11" l="1"/>
  <c r="Q6" i="11" s="1"/>
  <c r="H6" i="11" s="1"/>
  <c r="G6" i="11" s="1"/>
  <c r="M7" i="2" s="1"/>
  <c r="B7" i="2" s="1"/>
  <c r="S19" i="11"/>
  <c r="Q19" i="11" s="1"/>
  <c r="H19" i="11" s="1"/>
  <c r="G19" i="11" s="1"/>
  <c r="M20" i="2" s="1"/>
  <c r="B20" i="2" s="1"/>
  <c r="S8" i="11"/>
  <c r="Q8" i="11" s="1"/>
  <c r="H8" i="11" s="1"/>
  <c r="G8" i="11" s="1"/>
  <c r="M9" i="2" s="1"/>
  <c r="S13" i="11"/>
  <c r="Q13" i="11" s="1"/>
  <c r="H13" i="11" s="1"/>
  <c r="G13" i="11" s="1"/>
  <c r="M14" i="2" s="1"/>
  <c r="B14" i="2" s="1"/>
  <c r="S16" i="11"/>
  <c r="Q16" i="11" s="1"/>
  <c r="H16" i="11" s="1"/>
  <c r="G16" i="11" s="1"/>
  <c r="M17" i="2" s="1"/>
  <c r="B17" i="2" s="1"/>
  <c r="S17" i="11"/>
  <c r="Q17" i="11" s="1"/>
  <c r="H17" i="11" s="1"/>
  <c r="G17" i="11" s="1"/>
  <c r="S4" i="11"/>
  <c r="S18" i="11"/>
  <c r="Q18" i="11" s="1"/>
  <c r="H18" i="11" s="1"/>
  <c r="G18" i="11" s="1"/>
  <c r="M19" i="2" s="1"/>
  <c r="B19" i="2" s="1"/>
  <c r="S9" i="11"/>
  <c r="Q9" i="11" s="1"/>
  <c r="H9" i="11" s="1"/>
  <c r="G9" i="11" s="1"/>
  <c r="M10" i="2" s="1"/>
  <c r="B10" i="2" s="1"/>
  <c r="S12" i="11"/>
  <c r="Q12" i="11" s="1"/>
  <c r="H12" i="11" s="1"/>
  <c r="G12" i="11" s="1"/>
  <c r="M13" i="2" s="1"/>
  <c r="B13" i="2" s="1"/>
  <c r="S14" i="11"/>
  <c r="Q14" i="11" s="1"/>
  <c r="H14" i="11" s="1"/>
  <c r="G14" i="11" s="1"/>
  <c r="M15" i="2" s="1"/>
  <c r="B15" i="2" s="1"/>
  <c r="C41" i="11"/>
  <c r="O49" i="11"/>
  <c r="O46" i="11"/>
  <c r="D17" i="11"/>
  <c r="S22" i="11"/>
  <c r="Q22" i="11" s="1"/>
  <c r="H22" i="11" s="1"/>
  <c r="G22" i="11" s="1"/>
  <c r="M23" i="2" s="1"/>
  <c r="S7" i="11"/>
  <c r="Q7" i="11" s="1"/>
  <c r="H7" i="11" s="1"/>
  <c r="G7" i="11" s="1"/>
  <c r="M8" i="2" s="1"/>
  <c r="B8" i="2" s="1"/>
  <c r="J27" i="10"/>
  <c r="H4" i="10"/>
  <c r="C4" i="9"/>
  <c r="E26" i="9"/>
  <c r="E27" i="9"/>
  <c r="Q29" i="2"/>
  <c r="B25" i="16"/>
  <c r="B6" i="16"/>
  <c r="AA9" i="2" s="1"/>
  <c r="B9" i="2" s="1"/>
  <c r="B29" i="13"/>
  <c r="B27" i="13"/>
  <c r="O5" i="2"/>
  <c r="O27" i="2" s="1"/>
  <c r="O29" i="2" s="1"/>
  <c r="B4" i="11"/>
  <c r="C27" i="11"/>
  <c r="C28" i="11"/>
  <c r="C28" i="14"/>
  <c r="C26" i="14"/>
  <c r="D4" i="14"/>
  <c r="B4" i="14" s="1"/>
  <c r="D27" i="11" l="1"/>
  <c r="D28" i="11"/>
  <c r="B17" i="11"/>
  <c r="M18" i="2" s="1"/>
  <c r="B18" i="2" s="1"/>
  <c r="Q4" i="11"/>
  <c r="S27" i="11"/>
  <c r="B27" i="11"/>
  <c r="H27" i="10"/>
  <c r="H28" i="10" s="1"/>
  <c r="C4" i="10"/>
  <c r="C5" i="2"/>
  <c r="AA27" i="2"/>
  <c r="B29" i="11"/>
  <c r="B28" i="11"/>
  <c r="B28" i="14"/>
  <c r="E5" i="2"/>
  <c r="D28" i="14"/>
  <c r="D26" i="14"/>
  <c r="B26" i="14" s="1"/>
  <c r="Q27" i="11" l="1"/>
  <c r="Q29" i="11" s="1"/>
  <c r="H4" i="11"/>
  <c r="C28" i="10"/>
  <c r="C27" i="10"/>
  <c r="B27" i="10" s="1"/>
  <c r="B4" i="10"/>
  <c r="AA29" i="2"/>
  <c r="F26" i="1"/>
  <c r="E27" i="2"/>
  <c r="H27" i="11" l="1"/>
  <c r="G27" i="11" s="1"/>
  <c r="G29" i="11" s="1"/>
  <c r="G4" i="11"/>
  <c r="H28" i="11"/>
  <c r="B29" i="10"/>
  <c r="D5" i="2"/>
  <c r="B28" i="10"/>
  <c r="E26" i="1"/>
  <c r="F27" i="1"/>
  <c r="J26" i="1"/>
  <c r="J27" i="1" s="1"/>
  <c r="J33" i="1" s="1"/>
  <c r="E29" i="2"/>
  <c r="G28" i="11" l="1"/>
  <c r="M28" i="2" s="1"/>
  <c r="M5" i="2"/>
  <c r="M27" i="2" s="1"/>
  <c r="M29" i="2" s="1"/>
  <c r="D29" i="2"/>
  <c r="D27" i="2"/>
  <c r="H26" i="1"/>
  <c r="E27" i="1"/>
  <c r="E33" i="1" s="1"/>
  <c r="C23" i="2"/>
  <c r="B5" i="2" l="1"/>
  <c r="B23" i="2"/>
  <c r="C23" i="9" l="1"/>
  <c r="C26" i="9" s="1"/>
  <c r="F9" i="1" s="1"/>
  <c r="G27" i="9"/>
  <c r="F16" i="1" l="1"/>
  <c r="F33" i="1" s="1"/>
  <c r="H30" i="1" s="1"/>
  <c r="H9" i="1"/>
  <c r="H16" i="1" s="1"/>
  <c r="C24" i="2"/>
  <c r="B24" i="2"/>
  <c r="C29" i="2" l="1"/>
  <c r="C27" i="2"/>
  <c r="B28" i="2" s="1"/>
  <c r="B27" i="2"/>
  <c r="B29" i="2" s="1"/>
</calcChain>
</file>

<file path=xl/sharedStrings.xml><?xml version="1.0" encoding="utf-8"?>
<sst xmlns="http://schemas.openxmlformats.org/spreadsheetml/2006/main" count="1471" uniqueCount="461">
  <si>
    <t>Dernière mise à jour :</t>
  </si>
  <si>
    <t>1/ MARCHE Français</t>
  </si>
  <si>
    <t>MONTANT EN € HT</t>
  </si>
  <si>
    <t>INTERPROFESSIONS</t>
  </si>
  <si>
    <t>FranceAgriMer</t>
  </si>
  <si>
    <t>DISTRI VINS TRANQUILLES FRANCE Y COMPRIS PROXI</t>
  </si>
  <si>
    <t>DISTRI VINS TRANQUILLES ET EFFERVESCENTS UK</t>
  </si>
  <si>
    <t>DISTRI VINS TRANQUILLES ET EFFERVESCENTS Allemagne</t>
  </si>
  <si>
    <t>CONSO VINS TRANQUILLES ET EFFERVESCENTS France</t>
  </si>
  <si>
    <t>CONSO VINS TRANQUILLES ET EFFERVESCENTS Allemagne</t>
  </si>
  <si>
    <t>SOUS TOTAL PANELS</t>
  </si>
  <si>
    <t>CNIV</t>
  </si>
  <si>
    <t>GTI</t>
  </si>
  <si>
    <t>MONOPOLES</t>
  </si>
  <si>
    <t>TOTAL GENERAL en € HT</t>
  </si>
  <si>
    <t>Remarques :</t>
  </si>
  <si>
    <r>
      <t>1</t>
    </r>
    <r>
      <rPr>
        <sz val="10"/>
        <color rgb="FF000000"/>
        <rFont val="Calibri"/>
        <family val="2"/>
        <charset val="1"/>
      </rPr>
      <t>Les outils de panels sont facturées directement aux comités par les prestataires. Les études mutualisées au CNIV sont contractualisées au nom du CNIV et facturées au CNIV</t>
    </r>
  </si>
  <si>
    <t>CIVA</t>
  </si>
  <si>
    <t>INTERBEAUJOLAIS</t>
  </si>
  <si>
    <t>IVBD</t>
  </si>
  <si>
    <t>CIVB</t>
  </si>
  <si>
    <t>BIVB</t>
  </si>
  <si>
    <t>UIVC</t>
  </si>
  <si>
    <t>BIVC</t>
  </si>
  <si>
    <t>CIVCORSE</t>
  </si>
  <si>
    <t>CIVC</t>
  </si>
  <si>
    <t>CIVL</t>
  </si>
  <si>
    <t>INTERLOIRE</t>
  </si>
  <si>
    <t>CNPC</t>
  </si>
  <si>
    <t>CIVP</t>
  </si>
  <si>
    <t>INTERRHONE</t>
  </si>
  <si>
    <t>CIVR</t>
  </si>
  <si>
    <t>IVSO</t>
  </si>
  <si>
    <t>INTERVINS SUD EST</t>
  </si>
  <si>
    <t>CIVS</t>
  </si>
  <si>
    <t>INTER OC</t>
  </si>
  <si>
    <t>JURA</t>
  </si>
  <si>
    <t>IGP LOIRE</t>
  </si>
  <si>
    <t>ANIVIN</t>
  </si>
  <si>
    <t>Contrôle</t>
  </si>
  <si>
    <t>INTERPROFESSIONS</t>
  </si>
  <si>
    <t>IRI VT FR</t>
  </si>
  <si>
    <t>IRI FR EFF</t>
  </si>
  <si>
    <t>IRI UK</t>
  </si>
  <si>
    <t>IRI ALL</t>
  </si>
  <si>
    <t>IRI PB</t>
  </si>
  <si>
    <t>KANTAR</t>
  </si>
  <si>
    <t>GfK BE</t>
  </si>
  <si>
    <t>GfK ALL</t>
  </si>
  <si>
    <t>MONTANT OUTIL TOTAL</t>
  </si>
  <si>
    <t>MONTANT OUTIL CNIV AVEC OPTIONS</t>
  </si>
  <si>
    <t>MONTANT OUTIL FranceAgriMer SANS OPTIONS</t>
  </si>
  <si>
    <t>Interprofessions</t>
  </si>
  <si>
    <t>IVDL</t>
  </si>
  <si>
    <t>CIVJ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</si>
  <si>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</si>
  <si>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</si>
  <si>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</si>
  <si>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</si>
  <si>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</si>
  <si>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</si>
  <si>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</si>
  <si>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</si>
  <si>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</si>
  <si>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</si>
  <si>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</si>
  <si>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</si>
  <si>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</si>
  <si>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</si>
  <si>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</si>
  <si>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</si>
  <si>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</si>
  <si>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</si>
  <si>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</si>
  <si>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</si>
  <si>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LOT  4 VINS TRANQUILLES PAYS BAS</t>
  </si>
  <si>
    <t>Remise de prix incluse</t>
  </si>
  <si>
    <t>Prix en € HT</t>
  </si>
  <si>
    <t>TOTAL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</si>
  <si>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</si>
  <si>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</si>
  <si>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</si>
  <si>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</si>
  <si>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</si>
  <si>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</si>
  <si>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</si>
  <si>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</si>
  <si>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</si>
  <si>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</si>
  <si>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</si>
  <si>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</si>
  <si>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</si>
  <si>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</si>
  <si>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</si>
  <si>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</si>
  <si>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</si>
  <si>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</si>
  <si>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</si>
  <si>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</si>
  <si>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</si>
  <si>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</si>
  <si>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</si>
  <si>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</si>
  <si>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</si>
  <si>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</si>
  <si>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</si>
  <si>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</si>
  <si>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</si>
  <si>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</si>
  <si>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</si>
  <si>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</si>
  <si>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</si>
  <si>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</si>
  <si>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</si>
  <si>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</si>
  <si>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</si>
  <si>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</si>
  <si>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</si>
  <si>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</si>
  <si>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</si>
  <si>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</si>
  <si>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</si>
  <si>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</si>
  <si>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</si>
  <si>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</si>
  <si>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</si>
  <si>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</si>
  <si>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</si>
  <si>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</si>
  <si>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</si>
  <si>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</si>
  <si>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</si>
  <si>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</si>
  <si>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</si>
  <si>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</si>
  <si>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</si>
  <si>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</si>
  <si>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</si>
  <si>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</si>
  <si>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</si>
  <si>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</si>
  <si>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</si>
  <si>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Alsace</t>
  </si>
  <si>
    <t>Beaujolais</t>
  </si>
  <si>
    <t>CIVRB</t>
  </si>
  <si>
    <t>Bergerac</t>
  </si>
  <si>
    <t>Cahors</t>
  </si>
  <si>
    <t>Centre</t>
  </si>
  <si>
    <t>Corse</t>
  </si>
  <si>
    <t>Languedoc</t>
  </si>
  <si>
    <t>Pineau Charentes</t>
  </si>
  <si>
    <t>Roussillon</t>
  </si>
  <si>
    <t>Sud Ouest</t>
  </si>
  <si>
    <t>Savoie</t>
  </si>
  <si>
    <t>Forfait</t>
  </si>
  <si>
    <t>-</t>
  </si>
  <si>
    <t>TOTAL INTERPROFESSIONS 1</t>
  </si>
  <si>
    <t>TOTLA INTERPROFESSIONS 2</t>
  </si>
  <si>
    <t>MONTANT TOTAL</t>
  </si>
  <si>
    <t>* TVA à 20%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</si>
  <si>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</si>
  <si>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</si>
  <si>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</si>
  <si>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</si>
  <si>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</si>
  <si>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</si>
  <si>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</si>
  <si>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</si>
  <si>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DISTRI VINS TRANQUILLES FR</t>
  </si>
  <si>
    <t>DISTRI VINS EFFE FR</t>
  </si>
  <si>
    <t>DISTRI VINS TRANQUILLES PB</t>
  </si>
  <si>
    <t>CONSO VINS TRANQUILLES ET EFFE FR</t>
  </si>
  <si>
    <t>CONSO VINS TRANQUILLES ET EFFE BE</t>
  </si>
  <si>
    <t>CONSO VINS TRANQUILLES ET EFFERVESCENTS Danemark</t>
  </si>
  <si>
    <t>DISTRI VINS EFFERVESCENTS TRANQUILLES SUISSE</t>
  </si>
  <si>
    <t>Montant FranceAgriMer inclus 50 % subvention UE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</si>
  <si>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</si>
  <si>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</si>
  <si>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</si>
  <si>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</si>
  <si>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</si>
  <si>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</si>
  <si>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</si>
  <si>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</si>
  <si>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</si>
  <si>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</si>
  <si>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</si>
  <si>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</si>
  <si>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</si>
  <si>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</si>
  <si>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</si>
  <si>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</si>
  <si>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</si>
  <si>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</si>
  <si>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</si>
  <si>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</si>
  <si>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</si>
  <si>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</si>
  <si>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WINE INTELLIGENCE</t>
  </si>
  <si>
    <t>Total</t>
  </si>
  <si>
    <t>Montant mutualisé</t>
  </si>
  <si>
    <t>Montant partagé</t>
  </si>
  <si>
    <t>Nb comités</t>
  </si>
  <si>
    <t>IRI France Vins tranquilles</t>
  </si>
  <si>
    <t>Grille IRI FR VT</t>
  </si>
  <si>
    <t>MONTANT MUTUALISE AVEC FranceAgriMer</t>
  </si>
  <si>
    <t>OPTIONS INDIVIDUELLES</t>
  </si>
  <si>
    <t>Nbe comités</t>
  </si>
  <si>
    <t>Coût prestation de base CNIV/FranceAgriMer</t>
  </si>
  <si>
    <t>HT 2018</t>
  </si>
  <si>
    <t>Prix initial 2018 HT</t>
  </si>
  <si>
    <t>Prix initial 2018 TTC</t>
  </si>
  <si>
    <t>Options individuelles comités € HT - Détail ci-dessous</t>
  </si>
  <si>
    <t>Base spécifique&amp;géographie département</t>
  </si>
  <si>
    <t>TOTAL OPTIONS INDIVIDUELLES PANEL France VINS TRANQUILLES</t>
  </si>
  <si>
    <t>MONTANT A PAYER HT</t>
  </si>
  <si>
    <t>1/Sous total base spécifique et département</t>
  </si>
  <si>
    <t>1/TDP BIB ET INDIVIDUELLES</t>
  </si>
  <si>
    <t>Comité</t>
  </si>
  <si>
    <t>Indexation</t>
  </si>
  <si>
    <t>Prix unitaire € HT</t>
  </si>
  <si>
    <t>RHONE</t>
  </si>
  <si>
    <t>LOIRE</t>
  </si>
  <si>
    <t>Nombre de lignes TDP</t>
  </si>
  <si>
    <t>15 (dont 6 communes)</t>
  </si>
  <si>
    <t>Détail des TDP souscrites</t>
  </si>
  <si>
    <t>Communes au  CIVB/INTERRHONE/CIVL</t>
  </si>
  <si>
    <t>Intitulé des lignes</t>
  </si>
  <si>
    <t>BIB AOP rouge(&lt;=5l)</t>
  </si>
  <si>
    <t>BIB total Bdx (&lt;=5l)</t>
  </si>
  <si>
    <t>BIB CDR Régionaux rouges</t>
  </si>
  <si>
    <t>BIB IGP Dép. Aude Hérault Gard rouge &lt;=5 l</t>
  </si>
  <si>
    <t>75 Cl Pinot noir</t>
  </si>
  <si>
    <t>BIB AOP blanc(&lt;=5l)</t>
  </si>
  <si>
    <t>BIB total Bdx rouge(&lt;=5l)</t>
  </si>
  <si>
    <t>BIB CDR Régionaux rosés</t>
  </si>
  <si>
    <t>BIB IGP Dép. Aude Hérault Gard rosé &lt;=5 l</t>
  </si>
  <si>
    <t>75 Cl Pinot blanc</t>
  </si>
  <si>
    <t>BIB AOP rosé(&lt;=5l)</t>
  </si>
  <si>
    <t>BIB total Bdx blanc(&lt;=5l)</t>
  </si>
  <si>
    <t>75 cl Ventoux rosé</t>
  </si>
  <si>
    <t>75 Cl Pinot gris</t>
  </si>
  <si>
    <t>BIB IGP rouge(&lt;=5l)</t>
  </si>
  <si>
    <t>BIB total Bdx rosé(&lt;=5l)</t>
  </si>
  <si>
    <t>75 cl luberon rosé</t>
  </si>
  <si>
    <t>BIB IGP blanc(&lt;=5l)</t>
  </si>
  <si>
    <t>BIB aoc Bordeaux rouge (&lt;=5l)</t>
  </si>
  <si>
    <t>75 cl CdNimes rosé</t>
  </si>
  <si>
    <t>BIB IGP rosé(&lt;=5l)</t>
  </si>
  <si>
    <t>Nombre de lignes</t>
  </si>
  <si>
    <t>2/Bases historiques frais d'hébergement</t>
  </si>
  <si>
    <t>3/Bases spécifiques et département</t>
  </si>
  <si>
    <t>IRI France EFFERVESCENTS</t>
  </si>
  <si>
    <t>Détail du calcul de la partie de prestation de base et mutualisée CNIV</t>
  </si>
  <si>
    <t>Nombre de comités souscripteurs</t>
  </si>
  <si>
    <t>Evolution Indice synthec 2016</t>
  </si>
  <si>
    <t>Options mutualisées CNIV € HT</t>
  </si>
  <si>
    <t>TDP</t>
  </si>
  <si>
    <t>Bases historiques&amp;hébergement</t>
  </si>
  <si>
    <t>TOTAL OPTIONS INDIVIDUELLES PANEL France VINS EFFERVESCENTS</t>
  </si>
  <si>
    <t>INTEROC</t>
  </si>
  <si>
    <t>1/Sous total TDP</t>
  </si>
  <si>
    <t>2/Sous total bases historiques</t>
  </si>
  <si>
    <t>1/TDP</t>
  </si>
  <si>
    <t>Montant HT à payer par comité, par année</t>
  </si>
  <si>
    <t>12 (dont 11 communes)</t>
  </si>
  <si>
    <t>Vouvray</t>
  </si>
  <si>
    <t>pour mémoire</t>
  </si>
  <si>
    <t>Historique 2013 avec le nouveau pas sur la TDP : ligne Champagne 265,00 € HT CIVC</t>
  </si>
  <si>
    <t>Modifications</t>
  </si>
  <si>
    <t>1/TDP</t>
  </si>
  <si>
    <t>Lignes communes</t>
  </si>
  <si>
    <t>Calcul du prix</t>
  </si>
  <si>
    <t>Forfait 10 premières TDP</t>
  </si>
  <si>
    <t>20 suivantes prix unitaire (11 à 30)</t>
  </si>
  <si>
    <t>20 suivantes prix unitaire (31 à 50)</t>
  </si>
  <si>
    <t>10 dernières prix unitaires (51 à 59)</t>
  </si>
  <si>
    <t>Détail des lignes TDP UK</t>
  </si>
  <si>
    <t>Commun</t>
  </si>
  <si>
    <t>vins tranquilles rouge</t>
  </si>
  <si>
    <t>VDR total</t>
  </si>
  <si>
    <t>Bordeaux total</t>
  </si>
  <si>
    <t>Corbières rouge</t>
  </si>
  <si>
    <t>Bourgogne rouge total</t>
  </si>
  <si>
    <t>Vin de pays d'oc</t>
  </si>
  <si>
    <t>Muscadet</t>
  </si>
  <si>
    <t>vins tranquilles rosé</t>
  </si>
  <si>
    <t>CDR rouge</t>
  </si>
  <si>
    <t>Bordeaux rouge total</t>
  </si>
  <si>
    <t>Minervois rouge</t>
  </si>
  <si>
    <t>Bourgogne blanc total</t>
  </si>
  <si>
    <t>Vin de pays d'oc Merlot rouge</t>
  </si>
  <si>
    <t>vins tranquilles blanc</t>
  </si>
  <si>
    <t>CDR rosé</t>
  </si>
  <si>
    <t>Bordeaux blanctotal</t>
  </si>
  <si>
    <t>Languedoc rouge toal</t>
  </si>
  <si>
    <t>Régionale Bourgogne Pinot Noir</t>
  </si>
  <si>
    <t>Vin de pays d'oc Syrah rouge</t>
  </si>
  <si>
    <t>Rosé d'anjou</t>
  </si>
  <si>
    <t>Vqprd rosé</t>
  </si>
  <si>
    <t>Crus rouge</t>
  </si>
  <si>
    <t>Groupe bordeaux</t>
  </si>
  <si>
    <t>Languedoc blanc toal</t>
  </si>
  <si>
    <t>Pinot étrangers (NZ, Chili, Californie)</t>
  </si>
  <si>
    <t>Vin de pays d'oc rosé</t>
  </si>
  <si>
    <t>Touraine Blanc</t>
  </si>
  <si>
    <t>Vqprd blanc</t>
  </si>
  <si>
    <t>Autres Rhône rouge</t>
  </si>
  <si>
    <t>Groupe Médoc et Graves</t>
  </si>
  <si>
    <t>Languedoc rosé toal</t>
  </si>
  <si>
    <t>Vin de pays d'oc Cabernet saouvignon rouge</t>
  </si>
  <si>
    <t>Sauvignon NZ</t>
  </si>
  <si>
    <t>Vqprd rouge</t>
  </si>
  <si>
    <t>CDR villages rouge</t>
  </si>
  <si>
    <t>Groupe Libournais</t>
  </si>
  <si>
    <t>Vin de pays d'oc Chardonnay</t>
  </si>
  <si>
    <t>vins de pays cépages rouge</t>
  </si>
  <si>
    <t>Groupe blancs secs</t>
  </si>
  <si>
    <t>"Macon" + "macon villages" + "macon+Noms de commune" blanc</t>
  </si>
  <si>
    <t>Vin de pays d'oc Sauvignon</t>
  </si>
  <si>
    <t>Australie rouge</t>
  </si>
  <si>
    <t>Groupe blancs doux</t>
  </si>
  <si>
    <t>Pinot Noir de NZ</t>
  </si>
  <si>
    <t>Californie rouge</t>
  </si>
  <si>
    <t>Aoc Bordeaux rouge</t>
  </si>
  <si>
    <t>Italie rouge</t>
  </si>
  <si>
    <t>Claret</t>
  </si>
  <si>
    <t>Espagne rouge</t>
  </si>
  <si>
    <t>AOC Bordeaux blanc</t>
  </si>
  <si>
    <t>Chili rouge</t>
  </si>
  <si>
    <t>californie rosé</t>
  </si>
  <si>
    <t>Australie blanc</t>
  </si>
  <si>
    <t>Californie blanc</t>
  </si>
  <si>
    <t>Italie blanc</t>
  </si>
  <si>
    <t>Pinot noir total (yc VDP)</t>
  </si>
  <si>
    <t>Chardonnay total (yc VDP)</t>
  </si>
  <si>
    <t>BASE VINS TRANQUILLES : en 2016 2 bases (2015-2014-2013) et (2012-2011-2010)</t>
  </si>
  <si>
    <t>BASE VINS EFFERVESCENTS</t>
  </si>
  <si>
    <t>3/Modification du pas des TDP</t>
  </si>
  <si>
    <t>IRI Allemagne</t>
  </si>
  <si>
    <t>IRI PAYS BAS VT</t>
  </si>
  <si>
    <t>IRI Pays-Bas</t>
  </si>
  <si>
    <t>TOTAL OPTIONS INDIVIDUELLES PANEL PAYS BAS</t>
  </si>
  <si>
    <t>Détail des TDP</t>
  </si>
  <si>
    <t>OPTIONS INDIVIDUELLES (TB)</t>
  </si>
  <si>
    <t>GfK Belgique VT et EFF</t>
  </si>
  <si>
    <t>Gfk Allemagne VT et VE</t>
  </si>
  <si>
    <t>COLOMBIE BRITANIQUE</t>
  </si>
  <si>
    <t>CNIV (à répartir)</t>
  </si>
  <si>
    <t>Suivi des modifications</t>
  </si>
  <si>
    <t>PROJET DE PANEL CHR France
SANS FranceAgriMer</t>
  </si>
  <si>
    <t>PROJET DE PANEL CHR France 
PARTICIPATION FranceAgriMer 50 %</t>
  </si>
  <si>
    <t>COGNAC</t>
  </si>
  <si>
    <t>Estimatif</t>
  </si>
  <si>
    <t>TTC 2018</t>
  </si>
  <si>
    <t>DISTRI VINS EFFERVESCENTS FRANCE Y COMPRIS PROXI</t>
  </si>
  <si>
    <t>PANEL SUIVI DES ACHATS EN CHR</t>
  </si>
  <si>
    <t>1/ SOUS TOTAL MARCHE Français</t>
  </si>
  <si>
    <t>2/ MARCHES EXPORT</t>
  </si>
  <si>
    <t>MULTI PAYS GTI</t>
  </si>
  <si>
    <t>MULTI PAYS  : WINE INTELLIGENCE</t>
  </si>
  <si>
    <t>2ème année du contrat (2017-2018)</t>
  </si>
  <si>
    <t>UK : PANEL SUIVI DES VENTES EN GD VT VE</t>
  </si>
  <si>
    <t>ALL : PANEL SUIVI DES VENTES EN GD VT VE</t>
  </si>
  <si>
    <t>MONOPOLES : ACHAT DE DONNEES</t>
  </si>
  <si>
    <t>SOUS TOTAL MARCHES EXPORT</t>
  </si>
  <si>
    <t>ALL : SUIVI CONSO VT VE</t>
  </si>
  <si>
    <t>RO CAVISTES</t>
  </si>
  <si>
    <t>CHR France</t>
  </si>
  <si>
    <r>
      <t xml:space="preserve">BUDGET </t>
    </r>
    <r>
      <rPr>
        <u/>
        <sz val="11"/>
        <color rgb="FFFF0000"/>
        <rFont val="Calibri"/>
        <family val="2"/>
        <charset val="1"/>
      </rPr>
      <t xml:space="preserve">Y COMPRIS </t>
    </r>
    <r>
      <rPr>
        <sz val="11"/>
        <rFont val="Calibri"/>
        <family val="2"/>
        <charset val="1"/>
      </rPr>
      <t>LES SOUCRIPTIONS INDIVIDUELLES SPECIFIQUES SUR LES PANELS</t>
    </r>
  </si>
  <si>
    <t>PAYS-BAS : SUIVI VENTES EN GD VT</t>
  </si>
  <si>
    <t>Première année du contrat (2018- 2021)</t>
  </si>
  <si>
    <t>Annuel</t>
  </si>
  <si>
    <t>Triannuel</t>
  </si>
  <si>
    <t>IRI UK VT (avec TDP maximisées)</t>
  </si>
  <si>
    <t>IRI UK VEFF</t>
  </si>
  <si>
    <t>1/Sous total TDP (20 lignes dans partie fixe)*</t>
  </si>
  <si>
    <t>20 lignes dans partie fixe vs 15 lignes ad hoc en 2017)</t>
  </si>
  <si>
    <t>IRI Royaume-Uni VT</t>
  </si>
  <si>
    <t>IRI Royaume-Uni VE</t>
  </si>
  <si>
    <t>FRANCEAGRIMER</t>
  </si>
  <si>
    <t>MARCHE France</t>
  </si>
  <si>
    <t>MARCHES EXPORT</t>
  </si>
  <si>
    <t>inclus</t>
  </si>
  <si>
    <t>liste à renseigner</t>
  </si>
  <si>
    <t>MONTANT TOTAL OUTIL</t>
  </si>
  <si>
    <t>Vérification</t>
  </si>
  <si>
    <t>OPTIONS INDIVIDUELLES (TDP + 1 base histo)</t>
  </si>
  <si>
    <t xml:space="preserve"> IGP OC SYRAH ROUGE </t>
  </si>
  <si>
    <t xml:space="preserve"> IGP OC CABERNET ROUGE </t>
  </si>
  <si>
    <t xml:space="preserve"> IGP OC CHARDONNAY BLANC</t>
  </si>
  <si>
    <t xml:space="preserve"> IGP OC SAUVIGNON BLANC</t>
  </si>
  <si>
    <t>3/ ETUDES TRANSVERSALES</t>
  </si>
  <si>
    <t>SOUS TOTAL ETUDES TRANSVERSALES</t>
  </si>
  <si>
    <t>ETUDES TRANSVERSALES</t>
  </si>
  <si>
    <t>WI 2018</t>
  </si>
  <si>
    <t xml:space="preserve">CHR Belgique </t>
  </si>
  <si>
    <t>USA ETUDE DE MARCHE</t>
  </si>
  <si>
    <t>Sous total bases historiques</t>
  </si>
  <si>
    <t>HT 2019</t>
  </si>
  <si>
    <t>Evolution Indice synthec</t>
  </si>
  <si>
    <t>TTC 2019</t>
  </si>
  <si>
    <t>Tableaux de bord € HT initial 2018</t>
  </si>
  <si>
    <t>(1)</t>
  </si>
  <si>
    <t>Prestation facturée directement aux interprofessions</t>
  </si>
  <si>
    <t>(2)</t>
  </si>
  <si>
    <t>Prestation payée par le Cniv et refacturée dans l'année aux interprofessions</t>
  </si>
  <si>
    <t>Annuel - Devis sur 3 ans (2017-2019)</t>
  </si>
  <si>
    <t>BE : SUIVI CONSO VT VE</t>
  </si>
  <si>
    <t xml:space="preserve">Modifications apportées : </t>
  </si>
  <si>
    <t>V0</t>
  </si>
  <si>
    <t>IB</t>
  </si>
  <si>
    <t>IL</t>
  </si>
  <si>
    <t>IR</t>
  </si>
  <si>
    <t>IVSE</t>
  </si>
  <si>
    <t>2/ Base histo</t>
  </si>
  <si>
    <r>
      <t>BUDGET PREVISIONNEL 2020 DES OUTILS ECONOMIQUES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</si>
  <si>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Deuxième année du contrat (2018- 2021)</t>
  </si>
  <si>
    <t>CAVISTES RELEVE D'OFFRE IDF</t>
  </si>
  <si>
    <t xml:space="preserve">Etude qualitative sur les labels - Place et valeur aux yeux des consommateurs - Monter des indices de confiance &gt; étudier les risques en termes de pratiques et suivi de l'image des appellations  - France et Export - questionnaires en ligne </t>
  </si>
  <si>
    <t>PREVISIONNEL 2020</t>
  </si>
  <si>
    <t>MONTANT EN € HT
Prévisionnel 2020</t>
  </si>
  <si>
    <t>MONTANT EN € HT Prev 2020
INTERPROFESSIONS</t>
  </si>
  <si>
    <t>MONTANT EN € HT Prev 2020
FranceAgriMer</t>
  </si>
  <si>
    <t>Régionale Bourgogne Chardonnay</t>
  </si>
  <si>
    <t>AOCChablis</t>
  </si>
  <si>
    <t>Budget Cniv études payées par le Cniv uniquement</t>
  </si>
  <si>
    <t>Budget identique à 2019, provision du renouvellement relevé d'offre cavistes, renouvellement des prestations pluriannuelles en place en 2019</t>
  </si>
  <si>
    <t>MONTANT EN € HT 2019
INTERPROFESSIONS</t>
  </si>
  <si>
    <t>V1</t>
  </si>
  <si>
    <t xml:space="preserve">Etude quinquennale </t>
  </si>
  <si>
    <t>Etude déconsommation de vin ménages français</t>
  </si>
  <si>
    <t xml:space="preserve">Annuel - </t>
  </si>
  <si>
    <t>Ajout 40 000 € HT déconsommation de vin sur le marché France - étude menée fin 2019</t>
  </si>
  <si>
    <r>
      <t>Prix initial 2018 HT</t>
    </r>
    <r>
      <rPr>
        <vertAlign val="superscript"/>
        <sz val="11"/>
        <rFont val="Calibri"/>
        <family val="2"/>
      </rPr>
      <t>1</t>
    </r>
  </si>
  <si>
    <t>TTC 2020</t>
  </si>
  <si>
    <t>Evolution Indice synthec 2020</t>
  </si>
  <si>
    <t>Evolution Indice synthec 2020 (prev. Calcul sur juil 19)</t>
  </si>
  <si>
    <t>2020 € HT</t>
  </si>
  <si>
    <r>
      <t>HT 2020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</si>
  <si>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y compris ILD mise en place partielle (781€)</t>
    </r>
  </si>
  <si>
    <t>HT 2020</t>
  </si>
  <si>
    <t>TOTAL OPTIONS INDIVIDUELLES PANEL UK 2020</t>
  </si>
  <si>
    <t>DECONSOMMATION VIN FR</t>
  </si>
  <si>
    <t>Tableaux de bord € HT 2020</t>
  </si>
  <si>
    <t>Calcul avec mise à jour indice synthec : indice Juillet 19 / août 17 à remettre à jour dès que celui d'août est connu</t>
  </si>
  <si>
    <t>V2</t>
  </si>
  <si>
    <t>PROVISION HVE</t>
  </si>
  <si>
    <t>PRESTATION BIO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</si>
  <si>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hors ILD </t>
    </r>
  </si>
  <si>
    <t>Provision HVE</t>
  </si>
  <si>
    <t>Prestation BIO</t>
  </si>
  <si>
    <t>V3</t>
  </si>
  <si>
    <t>Mise à jour de la grille de répartition Cniv 2020</t>
  </si>
  <si>
    <t>GRILLE GENERALE DU CNIV 
2020
15/85 CAPEE LISSEE</t>
  </si>
  <si>
    <t>STATUT 2020</t>
  </si>
  <si>
    <t>Dernière mise à jour : 29/06/2020</t>
  </si>
  <si>
    <t>Suppression de la prestation HVE IRI Panel vins tranquilles France</t>
  </si>
  <si>
    <t>Modification de la clé de répartition sur Kantar et étude de déconsommation  : ajout de la participation d'InterOc</t>
  </si>
  <si>
    <t>V4</t>
  </si>
  <si>
    <t>mise à jour de la prestation monopole Québec avec le retrait du CIVR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</si>
</sst>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#,##0\ &quot;€&quot;;[Red]\-#,##0\ &quot;€&quot;"/>
    <numFmt numFmtId="164" formatCode="#,##0,\€"/>
    <numFmt numFmtId="165" formatCode="#,##0.00,\€"/>
    <numFmt numFmtId="166" formatCode="0.0%"/>
    <numFmt numFmtId="167" formatCode="#,##0\ [$€-40C];[Red]\-#,##0\ [$€-40C]"/>
    <numFmt numFmtId="168" formatCode="_-[$$-409]* #,##0.00_ ;_-[$$-409]* \-#,##0.00,;_-[$$-409]* \-??_ ;_-@_ "/>
    <numFmt numFmtId="169" formatCode="_-* #,##0.00\ [$SEK]_-;\-* #,##0.00\ [$SEK]_-;_-* \-??\ [$SEK]_-;_-@_-"/>
    <numFmt numFmtId="170" formatCode="_-* #,##0.00,\€_-;\-* #,##0.00,\€_-;_-* \-??&quot; €&quot;_-;_-@_-"/>
    <numFmt numFmtId="171" formatCode="#,##0.00\ [$€-40C];[Red]\-#,##0.00\ [$€-40C]"/>
    <numFmt numFmtId="172" formatCode="0.000"/>
    <numFmt numFmtId="173" formatCode="#,##0.0,\€"/>
    <numFmt numFmtId="174" formatCode="[$$-1009]#,##0"/>
    <numFmt numFmtId="175" formatCode="#,##0.00\ &quot;€&quot;"/>
    <numFmt numFmtId="176" formatCode="#,##0\ &quot;€&quot;"/>
    <numFmt numFmtId="177" formatCode="_-* #,##0\ &quot;€&quot;_-;\-* #,##0\ &quot;€&quot;_-;_-* &quot;-&quot;??\ &quot;€&quot;_-;_-@_-"/>
    <numFmt numFmtId="178" formatCode="#,##0\ _€"/>
    <numFmt numFmtId="179" formatCode="#,##0.000\ _€"/>
    <numFmt numFmtId="180" formatCode="#,##0.0\ &quot;€&quot;"/>
    <numFmt numFmtId="181" formatCode="#,##0.000\ &quot;€&quot;"/>
    <numFmt numFmtId="182" formatCode="_-* #,##0\ &quot;€&quot;_-;\-* #,##0\ &quot;€&quot;_-;_-* &quot;-&quot;???\ &quot;€&quot;_-;_-@_-"/>
  </numFmts>
  <fonts count="61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i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9"/>
      <color theme="1" tint="0.499984740745262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  <charset val="1"/>
    </font>
    <font>
      <sz val="9"/>
      <color theme="1" tint="0.499984740745262"/>
      <name val="Calibri"/>
      <family val="2"/>
      <charset val="1"/>
    </font>
    <font>
      <i/>
      <sz val="9"/>
      <name val="Calibri"/>
      <family val="2"/>
      <charset val="1"/>
    </font>
    <font>
      <b/>
      <i/>
      <sz val="9"/>
      <name val="Calibri"/>
      <family val="2"/>
      <charset val="1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Calibri"/>
      <family val="2"/>
      <charset val="1"/>
    </font>
    <font>
      <b/>
      <sz val="10"/>
      <name val="Arial"/>
      <family val="2"/>
    </font>
    <font>
      <sz val="10"/>
      <name val="Times New Roman"/>
      <family val="1"/>
      <charset val="1"/>
    </font>
    <font>
      <i/>
      <sz val="11"/>
      <name val="Calibri"/>
      <family val="2"/>
      <charset val="1"/>
    </font>
    <font>
      <sz val="8"/>
      <name val="Arial"/>
      <family val="2"/>
    </font>
    <font>
      <i/>
      <sz val="9"/>
      <color rgb="FFFF0000"/>
      <name val="Calibri"/>
      <family val="2"/>
      <charset val="1"/>
    </font>
    <font>
      <i/>
      <sz val="9"/>
      <name val="Calibri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i/>
      <sz val="8"/>
      <color rgb="FFC00000"/>
      <name val="Arial"/>
      <family val="2"/>
    </font>
    <font>
      <u/>
      <sz val="9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B9CDE5"/>
      </patternFill>
    </fill>
    <fill>
      <patternFill patternType="solid">
        <fgColor rgb="FFE6B9B8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2" tint="-0.499984740745262"/>
        <bgColor theme="0"/>
      </patternFill>
    </fill>
    <fill>
      <patternFill patternType="solid">
        <fgColor theme="0"/>
        <bgColor rgb="FFB9CDE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70" fontId="20" fillId="0" borderId="0" applyBorder="0" applyProtection="0"/>
    <xf numFmtId="9" fontId="20" fillId="0" borderId="0" applyBorder="0" applyProtection="0"/>
    <xf numFmtId="0" fontId="9" fillId="0" borderId="0" applyBorder="0" applyProtection="0"/>
    <xf numFmtId="0" fontId="20" fillId="0" borderId="0"/>
    <xf numFmtId="0" fontId="22" fillId="0" borderId="0"/>
  </cellStyleXfs>
  <cellXfs count="80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4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0" fontId="4" fillId="0" borderId="0" xfId="2" applyNumberFormat="1" applyFont="1" applyBorder="1" applyAlignment="1" applyProtection="1">
      <alignment wrapText="1"/>
    </xf>
    <xf numFmtId="10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4" fillId="0" borderId="9" xfId="0" applyFont="1" applyBorder="1" applyAlignment="1">
      <alignment horizontal="left" vertical="center" wrapText="1"/>
    </xf>
    <xf numFmtId="166" fontId="20" fillId="0" borderId="0" xfId="2" applyNumberFormat="1" applyBorder="1" applyProtection="1"/>
    <xf numFmtId="0" fontId="5" fillId="0" borderId="0" xfId="0" applyFont="1"/>
    <xf numFmtId="10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0" fontId="4" fillId="0" borderId="20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2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9" xfId="0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70" fontId="0" fillId="0" borderId="0" xfId="0" applyNumberFormat="1" applyAlignment="1">
      <alignment wrapText="1"/>
    </xf>
    <xf numFmtId="165" fontId="4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center"/>
    </xf>
    <xf numFmtId="165" fontId="4" fillId="4" borderId="5" xfId="0" applyNumberFormat="1" applyFont="1" applyFill="1" applyBorder="1"/>
    <xf numFmtId="165" fontId="4" fillId="4" borderId="2" xfId="0" applyNumberFormat="1" applyFont="1" applyFill="1" applyBorder="1"/>
    <xf numFmtId="0" fontId="0" fillId="0" borderId="25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27" xfId="0" applyNumberFormat="1" applyBorder="1"/>
    <xf numFmtId="10" fontId="0" fillId="0" borderId="0" xfId="2" applyNumberFormat="1" applyFont="1" applyBorder="1" applyAlignment="1" applyProtection="1"/>
    <xf numFmtId="0" fontId="0" fillId="0" borderId="26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21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23" xfId="0" applyFont="1" applyBorder="1" applyAlignment="1">
      <alignment horizontal="right" wrapText="1"/>
    </xf>
    <xf numFmtId="10" fontId="0" fillId="0" borderId="23" xfId="2" applyNumberFormat="1" applyFont="1" applyBorder="1" applyAlignment="1" applyProtection="1"/>
    <xf numFmtId="165" fontId="0" fillId="0" borderId="23" xfId="0" applyNumberFormat="1" applyBorder="1"/>
    <xf numFmtId="165" fontId="0" fillId="0" borderId="13" xfId="0" applyNumberFormat="1" applyBorder="1"/>
    <xf numFmtId="0" fontId="4" fillId="0" borderId="17" xfId="0" applyFont="1" applyBorder="1"/>
    <xf numFmtId="0" fontId="4" fillId="0" borderId="22" xfId="0" applyFont="1" applyBorder="1"/>
    <xf numFmtId="10" fontId="4" fillId="0" borderId="22" xfId="0" applyNumberFormat="1" applyFont="1" applyBorder="1"/>
    <xf numFmtId="165" fontId="4" fillId="0" borderId="22" xfId="0" applyNumberFormat="1" applyFont="1" applyBorder="1"/>
    <xf numFmtId="165" fontId="4" fillId="0" borderId="16" xfId="0" applyNumberFormat="1" applyFont="1" applyBorder="1"/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0" fontId="4" fillId="0" borderId="22" xfId="1" applyFont="1" applyBorder="1" applyAlignment="1" applyProtection="1"/>
    <xf numFmtId="170" fontId="4" fillId="0" borderId="16" xfId="1" applyFont="1" applyBorder="1" applyAlignment="1" applyProtection="1"/>
    <xf numFmtId="165" fontId="0" fillId="0" borderId="0" xfId="0" applyNumberFormat="1"/>
    <xf numFmtId="10" fontId="4" fillId="0" borderId="22" xfId="2" applyNumberFormat="1" applyFont="1" applyBorder="1" applyAlignment="1" applyProtection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center" vertical="center" wrapText="1"/>
    </xf>
    <xf numFmtId="165" fontId="4" fillId="4" borderId="32" xfId="0" applyNumberFormat="1" applyFont="1" applyFill="1" applyBorder="1" applyAlignment="1">
      <alignment horizontal="left" vertical="center" wrapText="1"/>
    </xf>
    <xf numFmtId="165" fontId="1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18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165" fontId="17" fillId="0" borderId="24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9" fontId="0" fillId="0" borderId="9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0" fillId="0" borderId="24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165" fontId="0" fillId="0" borderId="9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4" xfId="2" applyNumberFormat="1" applyFont="1" applyBorder="1" applyAlignment="1" applyProtection="1">
      <alignment wrapText="1"/>
    </xf>
    <xf numFmtId="0" fontId="4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6" fillId="0" borderId="19" xfId="2" applyNumberFormat="1" applyFont="1" applyBorder="1" applyAlignment="1" applyProtection="1">
      <alignment wrapText="1"/>
    </xf>
    <xf numFmtId="2" fontId="19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/>
    <xf numFmtId="165" fontId="0" fillId="0" borderId="0" xfId="0" applyNumberFormat="1" applyBorder="1" applyAlignment="1">
      <alignment wrapText="1"/>
    </xf>
    <xf numFmtId="165" fontId="1" fillId="0" borderId="9" xfId="0" applyNumberFormat="1" applyFont="1" applyBorder="1" applyAlignment="1">
      <alignment horizontal="left" vertical="center" wrapText="1"/>
    </xf>
    <xf numFmtId="166" fontId="0" fillId="0" borderId="9" xfId="2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>
      <alignment wrapText="1"/>
    </xf>
    <xf numFmtId="166" fontId="20" fillId="0" borderId="9" xfId="2" applyNumberFormat="1" applyBorder="1" applyProtection="1"/>
    <xf numFmtId="10" fontId="1" fillId="0" borderId="9" xfId="2" applyNumberFormat="1" applyFont="1" applyBorder="1" applyAlignment="1" applyProtection="1">
      <alignment wrapText="1"/>
    </xf>
    <xf numFmtId="9" fontId="20" fillId="0" borderId="0" xfId="2" applyBorder="1" applyProtection="1"/>
    <xf numFmtId="176" fontId="0" fillId="0" borderId="0" xfId="0" applyNumberFormat="1"/>
    <xf numFmtId="176" fontId="0" fillId="0" borderId="9" xfId="0" applyNumberFormat="1" applyFont="1" applyBorder="1" applyAlignment="1">
      <alignment wrapText="1"/>
    </xf>
    <xf numFmtId="176" fontId="0" fillId="0" borderId="9" xfId="0" applyNumberFormat="1" applyBorder="1"/>
    <xf numFmtId="177" fontId="0" fillId="0" borderId="9" xfId="0" applyNumberFormat="1" applyBorder="1"/>
    <xf numFmtId="176" fontId="4" fillId="0" borderId="11" xfId="0" applyNumberFormat="1" applyFont="1" applyBorder="1" applyAlignment="1">
      <alignment wrapText="1"/>
    </xf>
    <xf numFmtId="0" fontId="0" fillId="0" borderId="9" xfId="0" applyFont="1" applyBorder="1"/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wrapText="1"/>
    </xf>
    <xf numFmtId="0" fontId="0" fillId="0" borderId="20" xfId="0" applyBorder="1"/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wrapText="1"/>
    </xf>
    <xf numFmtId="0" fontId="9" fillId="0" borderId="9" xfId="3" applyBorder="1"/>
    <xf numFmtId="0" fontId="9" fillId="0" borderId="9" xfId="3" applyBorder="1" applyAlignment="1">
      <alignment vertical="center"/>
    </xf>
    <xf numFmtId="9" fontId="20" fillId="0" borderId="9" xfId="2" applyNumberFormat="1" applyBorder="1" applyProtection="1"/>
    <xf numFmtId="0" fontId="0" fillId="0" borderId="0" xfId="0" applyFont="1" applyBorder="1"/>
    <xf numFmtId="164" fontId="0" fillId="0" borderId="0" xfId="0" applyNumberFormat="1" applyFont="1" applyBorder="1" applyAlignment="1">
      <alignment wrapText="1"/>
    </xf>
    <xf numFmtId="0" fontId="0" fillId="0" borderId="9" xfId="0" applyFont="1" applyBorder="1"/>
    <xf numFmtId="175" fontId="4" fillId="0" borderId="20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176" fontId="21" fillId="0" borderId="9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76" fontId="23" fillId="0" borderId="0" xfId="0" applyNumberFormat="1" applyFont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wrapText="1"/>
    </xf>
    <xf numFmtId="176" fontId="5" fillId="0" borderId="0" xfId="0" applyNumberFormat="1" applyFont="1" applyBorder="1" applyAlignment="1">
      <alignment vertical="center" wrapText="1"/>
    </xf>
    <xf numFmtId="176" fontId="9" fillId="0" borderId="9" xfId="3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 wrapText="1"/>
    </xf>
    <xf numFmtId="176" fontId="9" fillId="0" borderId="9" xfId="3" applyNumberFormat="1" applyBorder="1"/>
    <xf numFmtId="176" fontId="4" fillId="0" borderId="38" xfId="0" applyNumberFormat="1" applyFont="1" applyBorder="1" applyAlignment="1">
      <alignment wrapText="1"/>
    </xf>
    <xf numFmtId="176" fontId="10" fillId="0" borderId="0" xfId="0" applyNumberFormat="1" applyFont="1" applyAlignment="1">
      <alignment wrapText="1"/>
    </xf>
    <xf numFmtId="0" fontId="9" fillId="0" borderId="9" xfId="3" applyBorder="1" applyAlignment="1">
      <alignment vertical="center" wrapText="1"/>
    </xf>
    <xf numFmtId="176" fontId="6" fillId="0" borderId="11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wrapText="1"/>
    </xf>
    <xf numFmtId="176" fontId="26" fillId="0" borderId="9" xfId="0" applyNumberFormat="1" applyFont="1" applyBorder="1" applyAlignment="1">
      <alignment vertical="center" wrapText="1"/>
    </xf>
    <xf numFmtId="164" fontId="26" fillId="0" borderId="20" xfId="0" applyNumberFormat="1" applyFont="1" applyBorder="1" applyAlignment="1">
      <alignment wrapText="1"/>
    </xf>
    <xf numFmtId="164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176" fontId="26" fillId="0" borderId="9" xfId="0" applyNumberFormat="1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176" fontId="26" fillId="0" borderId="11" xfId="0" applyNumberFormat="1" applyFont="1" applyBorder="1" applyAlignment="1">
      <alignment wrapText="1"/>
    </xf>
    <xf numFmtId="176" fontId="27" fillId="0" borderId="0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164" fontId="25" fillId="0" borderId="0" xfId="0" applyNumberFormat="1" applyFont="1" applyAlignment="1">
      <alignment wrapText="1"/>
    </xf>
    <xf numFmtId="177" fontId="0" fillId="0" borderId="9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/>
    </xf>
    <xf numFmtId="0" fontId="30" fillId="0" borderId="0" xfId="0" applyFont="1"/>
    <xf numFmtId="171" fontId="29" fillId="0" borderId="9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/>
    <xf numFmtId="176" fontId="30" fillId="0" borderId="9" xfId="2" applyNumberFormat="1" applyFont="1" applyBorder="1" applyAlignment="1" applyProtection="1">
      <alignment wrapText="1"/>
    </xf>
    <xf numFmtId="167" fontId="30" fillId="0" borderId="9" xfId="2" applyNumberFormat="1" applyFont="1" applyBorder="1" applyAlignment="1" applyProtection="1">
      <alignment wrapText="1"/>
    </xf>
    <xf numFmtId="176" fontId="32" fillId="0" borderId="9" xfId="0" applyNumberFormat="1" applyFont="1" applyBorder="1"/>
    <xf numFmtId="164" fontId="30" fillId="0" borderId="0" xfId="0" applyNumberFormat="1" applyFont="1"/>
    <xf numFmtId="167" fontId="30" fillId="0" borderId="9" xfId="0" applyNumberFormat="1" applyFont="1" applyBorder="1" applyAlignment="1">
      <alignment wrapText="1"/>
    </xf>
    <xf numFmtId="176" fontId="29" fillId="0" borderId="9" xfId="0" applyNumberFormat="1" applyFont="1" applyBorder="1"/>
    <xf numFmtId="167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/>
    <xf numFmtId="167" fontId="33" fillId="0" borderId="9" xfId="0" applyNumberFormat="1" applyFont="1" applyBorder="1"/>
    <xf numFmtId="0" fontId="29" fillId="0" borderId="0" xfId="0" applyFont="1"/>
    <xf numFmtId="164" fontId="32" fillId="0" borderId="0" xfId="0" applyNumberFormat="1" applyFont="1" applyBorder="1" applyAlignment="1">
      <alignment wrapText="1"/>
    </xf>
    <xf numFmtId="176" fontId="32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176" fontId="32" fillId="0" borderId="0" xfId="0" applyNumberFormat="1" applyFont="1" applyBorder="1"/>
    <xf numFmtId="0" fontId="32" fillId="0" borderId="0" xfId="0" applyNumberFormat="1" applyFont="1" applyBorder="1"/>
    <xf numFmtId="0" fontId="32" fillId="0" borderId="0" xfId="0" applyFont="1"/>
    <xf numFmtId="0" fontId="32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0" fontId="25" fillId="0" borderId="0" xfId="0" applyFont="1" applyBorder="1"/>
    <xf numFmtId="0" fontId="26" fillId="0" borderId="0" xfId="0" applyFont="1"/>
    <xf numFmtId="1" fontId="25" fillId="0" borderId="0" xfId="0" applyNumberFormat="1" applyFont="1"/>
    <xf numFmtId="176" fontId="25" fillId="3" borderId="0" xfId="2" applyNumberFormat="1" applyFont="1" applyFill="1" applyBorder="1" applyAlignment="1" applyProtection="1">
      <alignment wrapText="1"/>
    </xf>
    <xf numFmtId="166" fontId="25" fillId="0" borderId="0" xfId="2" applyNumberFormat="1" applyFont="1" applyBorder="1" applyProtection="1"/>
    <xf numFmtId="0" fontId="25" fillId="0" borderId="0" xfId="0" applyFont="1" applyFill="1" applyBorder="1"/>
    <xf numFmtId="164" fontId="34" fillId="0" borderId="20" xfId="0" applyNumberFormat="1" applyFont="1" applyBorder="1" applyAlignment="1">
      <alignment wrapText="1"/>
    </xf>
    <xf numFmtId="164" fontId="25" fillId="0" borderId="0" xfId="0" applyNumberFormat="1" applyFont="1"/>
    <xf numFmtId="176" fontId="25" fillId="3" borderId="0" xfId="0" applyNumberFormat="1" applyFont="1" applyFill="1" applyBorder="1"/>
    <xf numFmtId="1" fontId="25" fillId="3" borderId="0" xfId="2" applyNumberFormat="1" applyFont="1" applyFill="1" applyBorder="1" applyProtection="1"/>
    <xf numFmtId="164" fontId="25" fillId="0" borderId="18" xfId="0" applyNumberFormat="1" applyFont="1" applyBorder="1" applyAlignment="1">
      <alignment wrapText="1"/>
    </xf>
    <xf numFmtId="0" fontId="25" fillId="3" borderId="0" xfId="0" applyFont="1" applyFill="1" applyBorder="1"/>
    <xf numFmtId="0" fontId="35" fillId="6" borderId="0" xfId="0" applyFont="1" applyFill="1"/>
    <xf numFmtId="0" fontId="36" fillId="6" borderId="0" xfId="0" applyFont="1" applyFill="1"/>
    <xf numFmtId="0" fontId="35" fillId="0" borderId="0" xfId="0" applyFont="1" applyBorder="1" applyAlignment="1"/>
    <xf numFmtId="1" fontId="35" fillId="0" borderId="0" xfId="0" applyNumberFormat="1" applyFont="1" applyBorder="1" applyAlignment="1"/>
    <xf numFmtId="1" fontId="26" fillId="0" borderId="0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right"/>
    </xf>
    <xf numFmtId="172" fontId="36" fillId="0" borderId="9" xfId="0" applyNumberFormat="1" applyFont="1" applyBorder="1" applyAlignment="1"/>
    <xf numFmtId="0" fontId="36" fillId="0" borderId="9" xfId="0" applyFont="1" applyBorder="1"/>
    <xf numFmtId="0" fontId="25" fillId="0" borderId="9" xfId="0" applyFont="1" applyBorder="1"/>
    <xf numFmtId="0" fontId="35" fillId="0" borderId="0" xfId="0" applyFont="1" applyBorder="1" applyAlignment="1">
      <alignment horizontal="right"/>
    </xf>
    <xf numFmtId="0" fontId="36" fillId="0" borderId="0" xfId="0" applyFont="1" applyBorder="1"/>
    <xf numFmtId="0" fontId="25" fillId="3" borderId="0" xfId="0" applyFont="1" applyFill="1"/>
    <xf numFmtId="0" fontId="35" fillId="0" borderId="9" xfId="0" applyFont="1" applyBorder="1" applyAlignment="1">
      <alignment wrapText="1"/>
    </xf>
    <xf numFmtId="0" fontId="36" fillId="0" borderId="9" xfId="0" applyFont="1" applyBorder="1" applyAlignment="1">
      <alignment horizontal="right"/>
    </xf>
    <xf numFmtId="176" fontId="25" fillId="0" borderId="0" xfId="0" applyNumberFormat="1" applyFont="1"/>
    <xf numFmtId="176" fontId="34" fillId="3" borderId="0" xfId="0" applyNumberFormat="1" applyFont="1" applyFill="1"/>
    <xf numFmtId="164" fontId="25" fillId="3" borderId="0" xfId="0" applyNumberFormat="1" applyFont="1" applyFill="1"/>
    <xf numFmtId="166" fontId="25" fillId="0" borderId="0" xfId="0" applyNumberFormat="1" applyFont="1"/>
    <xf numFmtId="0" fontId="26" fillId="0" borderId="26" xfId="0" applyFont="1" applyBorder="1" applyAlignment="1">
      <alignment vertical="center" wrapText="1"/>
    </xf>
    <xf numFmtId="0" fontId="25" fillId="0" borderId="20" xfId="0" applyFont="1" applyFill="1" applyBorder="1"/>
    <xf numFmtId="0" fontId="26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176" fontId="26" fillId="0" borderId="0" xfId="0" applyNumberFormat="1" applyFont="1"/>
    <xf numFmtId="176" fontId="25" fillId="0" borderId="18" xfId="0" applyNumberFormat="1" applyFont="1" applyBorder="1"/>
    <xf numFmtId="176" fontId="25" fillId="0" borderId="18" xfId="2" applyNumberFormat="1" applyFont="1" applyBorder="1" applyAlignment="1" applyProtection="1">
      <alignment wrapText="1"/>
    </xf>
    <xf numFmtId="176" fontId="25" fillId="0" borderId="0" xfId="2" applyNumberFormat="1" applyFont="1" applyBorder="1" applyAlignment="1" applyProtection="1">
      <alignment wrapText="1"/>
    </xf>
    <xf numFmtId="176" fontId="25" fillId="0" borderId="21" xfId="2" applyNumberFormat="1" applyFont="1" applyBorder="1" applyAlignment="1" applyProtection="1">
      <alignment wrapText="1"/>
    </xf>
    <xf numFmtId="176" fontId="25" fillId="0" borderId="9" xfId="0" applyNumberFormat="1" applyFont="1" applyBorder="1"/>
    <xf numFmtId="176" fontId="25" fillId="0" borderId="22" xfId="0" applyNumberFormat="1" applyFont="1" applyBorder="1"/>
    <xf numFmtId="176" fontId="25" fillId="0" borderId="16" xfId="0" applyNumberFormat="1" applyFont="1" applyBorder="1"/>
    <xf numFmtId="176" fontId="25" fillId="0" borderId="18" xfId="0" applyNumberFormat="1" applyFont="1" applyBorder="1" applyAlignment="1">
      <alignment wrapText="1"/>
    </xf>
    <xf numFmtId="176" fontId="25" fillId="0" borderId="23" xfId="0" applyNumberFormat="1" applyFont="1" applyBorder="1"/>
    <xf numFmtId="176" fontId="25" fillId="0" borderId="13" xfId="0" applyNumberFormat="1" applyFont="1" applyBorder="1"/>
    <xf numFmtId="176" fontId="34" fillId="0" borderId="0" xfId="0" applyNumberFormat="1" applyFont="1"/>
    <xf numFmtId="0" fontId="34" fillId="0" borderId="0" xfId="0" applyFont="1"/>
    <xf numFmtId="176" fontId="34" fillId="0" borderId="20" xfId="0" applyNumberFormat="1" applyFont="1" applyBorder="1" applyAlignment="1">
      <alignment wrapText="1"/>
    </xf>
    <xf numFmtId="176" fontId="34" fillId="0" borderId="0" xfId="0" applyNumberFormat="1" applyFont="1" applyBorder="1"/>
    <xf numFmtId="176" fontId="34" fillId="0" borderId="20" xfId="0" applyNumberFormat="1" applyFont="1" applyBorder="1"/>
    <xf numFmtId="164" fontId="27" fillId="0" borderId="0" xfId="0" applyNumberFormat="1" applyFont="1" applyBorder="1"/>
    <xf numFmtId="1" fontId="25" fillId="3" borderId="0" xfId="2" applyNumberFormat="1" applyFont="1" applyFill="1" applyBorder="1" applyAlignment="1" applyProtection="1">
      <alignment wrapText="1"/>
    </xf>
    <xf numFmtId="1" fontId="25" fillId="0" borderId="0" xfId="2" applyNumberFormat="1" applyFont="1" applyBorder="1" applyAlignment="1" applyProtection="1">
      <alignment wrapText="1"/>
    </xf>
    <xf numFmtId="1" fontId="25" fillId="0" borderId="0" xfId="2" applyNumberFormat="1" applyFont="1" applyBorder="1" applyAlignment="1" applyProtection="1">
      <alignment horizontal="left"/>
    </xf>
    <xf numFmtId="1" fontId="25" fillId="3" borderId="0" xfId="2" applyNumberFormat="1" applyFont="1" applyFill="1" applyBorder="1" applyAlignment="1" applyProtection="1">
      <alignment horizontal="right"/>
    </xf>
    <xf numFmtId="1" fontId="36" fillId="0" borderId="0" xfId="0" applyNumberFormat="1" applyFont="1" applyBorder="1"/>
    <xf numFmtId="0" fontId="25" fillId="0" borderId="9" xfId="0" applyFont="1" applyFill="1" applyBorder="1" applyAlignment="1">
      <alignment horizontal="right"/>
    </xf>
    <xf numFmtId="172" fontId="36" fillId="0" borderId="9" xfId="0" applyNumberFormat="1" applyFont="1" applyBorder="1"/>
    <xf numFmtId="0" fontId="25" fillId="0" borderId="9" xfId="0" applyFont="1" applyBorder="1" applyAlignment="1">
      <alignment horizontal="right"/>
    </xf>
    <xf numFmtId="1" fontId="25" fillId="0" borderId="9" xfId="0" applyNumberFormat="1" applyFont="1" applyBorder="1"/>
    <xf numFmtId="0" fontId="26" fillId="0" borderId="9" xfId="4" applyFont="1" applyBorder="1" applyAlignment="1"/>
    <xf numFmtId="0" fontId="25" fillId="0" borderId="9" xfId="4" applyFont="1" applyBorder="1" applyAlignment="1"/>
    <xf numFmtId="0" fontId="25" fillId="0" borderId="9" xfId="4" applyFont="1" applyBorder="1" applyAlignment="1">
      <alignment horizontal="center"/>
    </xf>
    <xf numFmtId="0" fontId="26" fillId="3" borderId="9" xfId="4" applyFont="1" applyFill="1" applyBorder="1" applyAlignment="1"/>
    <xf numFmtId="0" fontId="26" fillId="3" borderId="9" xfId="4" applyFont="1" applyFill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36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164" fontId="36" fillId="0" borderId="9" xfId="0" applyNumberFormat="1" applyFont="1" applyBorder="1"/>
    <xf numFmtId="164" fontId="25" fillId="0" borderId="21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76" fontId="25" fillId="0" borderId="15" xfId="0" applyNumberFormat="1" applyFont="1" applyBorder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0" fontId="25" fillId="0" borderId="0" xfId="4" applyFont="1" applyBorder="1" applyAlignment="1"/>
    <xf numFmtId="164" fontId="36" fillId="0" borderId="9" xfId="0" applyNumberFormat="1" applyFont="1" applyBorder="1" applyAlignment="1">
      <alignment wrapText="1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0" fontId="25" fillId="0" borderId="0" xfId="0" applyNumberFormat="1" applyFont="1"/>
    <xf numFmtId="164" fontId="37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175" fontId="31" fillId="0" borderId="9" xfId="3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18" xfId="0" applyFont="1" applyBorder="1"/>
    <xf numFmtId="166" fontId="1" fillId="3" borderId="18" xfId="2" applyNumberFormat="1" applyFont="1" applyFill="1" applyBorder="1" applyAlignment="1" applyProtection="1">
      <alignment wrapText="1"/>
    </xf>
    <xf numFmtId="176" fontId="1" fillId="3" borderId="18" xfId="2" applyNumberFormat="1" applyFont="1" applyFill="1" applyBorder="1" applyAlignment="1" applyProtection="1">
      <alignment wrapText="1"/>
    </xf>
    <xf numFmtId="176" fontId="1" fillId="3" borderId="21" xfId="2" applyNumberFormat="1" applyFont="1" applyFill="1" applyBorder="1" applyAlignment="1" applyProtection="1">
      <alignment wrapText="1"/>
    </xf>
    <xf numFmtId="166" fontId="1" fillId="3" borderId="0" xfId="2" applyNumberFormat="1" applyFont="1" applyFill="1" applyBorder="1" applyAlignment="1" applyProtection="1">
      <alignment wrapText="1"/>
    </xf>
    <xf numFmtId="176" fontId="1" fillId="3" borderId="0" xfId="2" applyNumberFormat="1" applyFont="1" applyFill="1" applyBorder="1" applyAlignment="1" applyProtection="1">
      <alignment wrapText="1"/>
    </xf>
    <xf numFmtId="166" fontId="1" fillId="0" borderId="0" xfId="2" applyNumberFormat="1" applyFont="1" applyBorder="1"/>
    <xf numFmtId="164" fontId="6" fillId="0" borderId="0" xfId="0" applyNumberFormat="1" applyFont="1" applyBorder="1"/>
    <xf numFmtId="166" fontId="1" fillId="0" borderId="18" xfId="2" applyNumberFormat="1" applyFont="1" applyBorder="1" applyProtection="1"/>
    <xf numFmtId="166" fontId="1" fillId="0" borderId="0" xfId="2" applyNumberFormat="1" applyFont="1" applyBorder="1" applyProtection="1"/>
    <xf numFmtId="166" fontId="1" fillId="0" borderId="0" xfId="2" applyNumberFormat="1" applyFont="1" applyFill="1" applyBorder="1" applyAlignment="1" applyProtection="1">
      <alignment wrapText="1"/>
    </xf>
    <xf numFmtId="0" fontId="1" fillId="0" borderId="0" xfId="0" applyFont="1" applyFill="1" applyBorder="1"/>
    <xf numFmtId="176" fontId="1" fillId="0" borderId="0" xfId="2" applyNumberFormat="1" applyFont="1" applyFill="1" applyBorder="1" applyAlignment="1" applyProtection="1">
      <alignment wrapText="1"/>
    </xf>
    <xf numFmtId="166" fontId="1" fillId="0" borderId="0" xfId="0" applyNumberFormat="1" applyFont="1" applyBorder="1"/>
    <xf numFmtId="0" fontId="1" fillId="0" borderId="18" xfId="0" applyFont="1" applyFill="1" applyBorder="1"/>
    <xf numFmtId="166" fontId="1" fillId="0" borderId="18" xfId="2" applyNumberFormat="1" applyFont="1" applyFill="1" applyBorder="1" applyAlignment="1" applyProtection="1">
      <alignment wrapText="1"/>
    </xf>
    <xf numFmtId="176" fontId="1" fillId="0" borderId="21" xfId="2" applyNumberFormat="1" applyFont="1" applyFill="1" applyBorder="1" applyAlignment="1" applyProtection="1">
      <alignment wrapText="1"/>
    </xf>
    <xf numFmtId="3" fontId="1" fillId="0" borderId="0" xfId="0" applyNumberFormat="1" applyFont="1"/>
    <xf numFmtId="166" fontId="1" fillId="0" borderId="14" xfId="2" applyNumberFormat="1" applyFont="1" applyFill="1" applyBorder="1" applyAlignment="1" applyProtection="1">
      <alignment wrapText="1"/>
    </xf>
    <xf numFmtId="176" fontId="1" fillId="0" borderId="13" xfId="2" applyNumberFormat="1" applyFont="1" applyFill="1" applyBorder="1" applyAlignment="1" applyProtection="1">
      <alignment wrapText="1"/>
    </xf>
    <xf numFmtId="164" fontId="1" fillId="0" borderId="9" xfId="0" applyNumberFormat="1" applyFont="1" applyBorder="1" applyAlignment="1">
      <alignment wrapText="1"/>
    </xf>
    <xf numFmtId="164" fontId="6" fillId="3" borderId="9" xfId="0" applyNumberFormat="1" applyFont="1" applyFill="1" applyBorder="1"/>
    <xf numFmtId="176" fontId="1" fillId="3" borderId="9" xfId="2" applyNumberFormat="1" applyFont="1" applyFill="1" applyBorder="1" applyAlignment="1" applyProtection="1">
      <alignment wrapText="1"/>
    </xf>
    <xf numFmtId="176" fontId="1" fillId="3" borderId="16" xfId="0" applyNumberFormat="1" applyFont="1" applyFill="1" applyBorder="1"/>
    <xf numFmtId="176" fontId="1" fillId="3" borderId="9" xfId="0" applyNumberFormat="1" applyFont="1" applyFill="1" applyBorder="1"/>
    <xf numFmtId="164" fontId="38" fillId="0" borderId="20" xfId="0" applyNumberFormat="1" applyFont="1" applyBorder="1" applyAlignment="1">
      <alignment wrapText="1"/>
    </xf>
    <xf numFmtId="164" fontId="39" fillId="3" borderId="0" xfId="0" applyNumberFormat="1" applyFont="1" applyFill="1" applyBorder="1"/>
    <xf numFmtId="176" fontId="38" fillId="3" borderId="0" xfId="0" applyNumberFormat="1" applyFont="1" applyFill="1" applyBorder="1"/>
    <xf numFmtId="176" fontId="38" fillId="3" borderId="0" xfId="2" applyNumberFormat="1" applyFont="1" applyFill="1" applyBorder="1" applyAlignment="1" applyProtection="1">
      <alignment wrapText="1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164" fontId="6" fillId="3" borderId="0" xfId="0" applyNumberFormat="1" applyFont="1" applyFill="1" applyBorder="1"/>
    <xf numFmtId="176" fontId="1" fillId="3" borderId="0" xfId="0" applyNumberFormat="1" applyFont="1" applyFill="1" applyBorder="1"/>
    <xf numFmtId="164" fontId="1" fillId="3" borderId="0" xfId="2" applyNumberFormat="1" applyFont="1" applyFill="1" applyBorder="1" applyAlignment="1" applyProtection="1">
      <alignment wrapText="1"/>
    </xf>
    <xf numFmtId="164" fontId="38" fillId="0" borderId="0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wrapText="1"/>
    </xf>
    <xf numFmtId="1" fontId="1" fillId="3" borderId="0" xfId="2" applyNumberFormat="1" applyFont="1" applyFill="1" applyBorder="1" applyProtection="1"/>
    <xf numFmtId="164" fontId="1" fillId="0" borderId="18" xfId="0" applyNumberFormat="1" applyFont="1" applyBorder="1" applyAlignment="1">
      <alignment wrapText="1"/>
    </xf>
    <xf numFmtId="164" fontId="1" fillId="3" borderId="0" xfId="0" applyNumberFormat="1" applyFont="1" applyFill="1" applyBorder="1"/>
    <xf numFmtId="0" fontId="41" fillId="0" borderId="0" xfId="0" applyFont="1"/>
    <xf numFmtId="166" fontId="1" fillId="3" borderId="0" xfId="2" applyNumberFormat="1" applyFont="1" applyFill="1" applyBorder="1" applyProtection="1"/>
    <xf numFmtId="166" fontId="1" fillId="0" borderId="9" xfId="2" applyNumberFormat="1" applyFont="1" applyBorder="1" applyProtection="1"/>
    <xf numFmtId="0" fontId="1" fillId="3" borderId="0" xfId="0" applyFont="1" applyFill="1" applyBorder="1"/>
    <xf numFmtId="0" fontId="42" fillId="6" borderId="0" xfId="0" applyFont="1" applyFill="1"/>
    <xf numFmtId="0" fontId="43" fillId="6" borderId="0" xfId="0" applyFont="1" applyFill="1"/>
    <xf numFmtId="0" fontId="1" fillId="11" borderId="0" xfId="0" applyFont="1" applyFill="1" applyBorder="1"/>
    <xf numFmtId="0" fontId="1" fillId="11" borderId="0" xfId="0" applyFont="1" applyFill="1"/>
    <xf numFmtId="0" fontId="1" fillId="11" borderId="0" xfId="0" applyFont="1" applyFill="1" applyAlignment="1">
      <alignment horizontal="center"/>
    </xf>
    <xf numFmtId="0" fontId="42" fillId="0" borderId="9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176" fontId="43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3" fillId="0" borderId="0" xfId="0" applyFont="1"/>
    <xf numFmtId="0" fontId="1" fillId="12" borderId="0" xfId="0" applyFont="1" applyFill="1"/>
    <xf numFmtId="0" fontId="42" fillId="0" borderId="0" xfId="0" applyFont="1" applyBorder="1" applyAlignment="1"/>
    <xf numFmtId="1" fontId="42" fillId="0" borderId="0" xfId="0" applyNumberFormat="1" applyFont="1" applyBorder="1" applyAlignment="1"/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10" borderId="0" xfId="0" applyFont="1" applyFill="1"/>
    <xf numFmtId="0" fontId="42" fillId="6" borderId="0" xfId="0" applyFont="1" applyFill="1" applyBorder="1"/>
    <xf numFmtId="0" fontId="42" fillId="0" borderId="9" xfId="0" applyFont="1" applyBorder="1" applyAlignment="1">
      <alignment horizontal="right" vertical="center"/>
    </xf>
    <xf numFmtId="0" fontId="42" fillId="0" borderId="9" xfId="0" applyFont="1" applyBorder="1" applyAlignment="1">
      <alignment vertical="center" wrapText="1"/>
    </xf>
    <xf numFmtId="0" fontId="42" fillId="0" borderId="24" xfId="0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right"/>
    </xf>
    <xf numFmtId="172" fontId="43" fillId="0" borderId="9" xfId="0" applyNumberFormat="1" applyFont="1" applyBorder="1" applyAlignment="1"/>
    <xf numFmtId="176" fontId="43" fillId="0" borderId="9" xfId="0" applyNumberFormat="1" applyFont="1" applyBorder="1" applyAlignment="1">
      <alignment vertical="center" wrapText="1"/>
    </xf>
    <xf numFmtId="176" fontId="43" fillId="0" borderId="9" xfId="0" applyNumberFormat="1" applyFont="1" applyBorder="1"/>
    <xf numFmtId="0" fontId="1" fillId="0" borderId="0" xfId="0" applyFont="1" applyBorder="1" applyAlignment="1">
      <alignment vertical="center"/>
    </xf>
    <xf numFmtId="0" fontId="43" fillId="0" borderId="9" xfId="0" applyFont="1" applyBorder="1"/>
    <xf numFmtId="0" fontId="1" fillId="0" borderId="9" xfId="0" applyFont="1" applyBorder="1"/>
    <xf numFmtId="0" fontId="42" fillId="0" borderId="0" xfId="0" applyFont="1" applyBorder="1" applyAlignment="1">
      <alignment horizontal="right"/>
    </xf>
    <xf numFmtId="0" fontId="43" fillId="0" borderId="0" xfId="0" applyFont="1" applyBorder="1"/>
    <xf numFmtId="0" fontId="1" fillId="3" borderId="0" xfId="0" applyFont="1" applyFill="1"/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wrapText="1"/>
    </xf>
    <xf numFmtId="172" fontId="1" fillId="0" borderId="9" xfId="2" applyNumberFormat="1" applyFont="1" applyBorder="1"/>
    <xf numFmtId="176" fontId="43" fillId="0" borderId="9" xfId="0" applyNumberFormat="1" applyFont="1" applyBorder="1" applyAlignment="1">
      <alignment wrapText="1"/>
    </xf>
    <xf numFmtId="176" fontId="43" fillId="0" borderId="24" xfId="0" applyNumberFormat="1" applyFont="1" applyBorder="1" applyAlignment="1">
      <alignment wrapText="1"/>
    </xf>
    <xf numFmtId="0" fontId="42" fillId="12" borderId="9" xfId="0" applyFont="1" applyFill="1" applyBorder="1" applyAlignment="1">
      <alignment horizontal="right"/>
    </xf>
    <xf numFmtId="0" fontId="42" fillId="12" borderId="9" xfId="0" quotePrefix="1" applyFont="1" applyFill="1" applyBorder="1" applyAlignment="1">
      <alignment horizontal="right" wrapText="1"/>
    </xf>
    <xf numFmtId="176" fontId="44" fillId="12" borderId="9" xfId="0" applyNumberFormat="1" applyFont="1" applyFill="1" applyBorder="1" applyAlignment="1">
      <alignment horizontal="right" wrapText="1"/>
    </xf>
    <xf numFmtId="176" fontId="44" fillId="12" borderId="24" xfId="0" applyNumberFormat="1" applyFont="1" applyFill="1" applyBorder="1" applyAlignment="1">
      <alignment horizontal="right" wrapText="1"/>
    </xf>
    <xf numFmtId="176" fontId="43" fillId="12" borderId="9" xfId="0" applyNumberFormat="1" applyFont="1" applyFill="1" applyBorder="1" applyAlignment="1">
      <alignment wrapText="1"/>
    </xf>
    <xf numFmtId="172" fontId="43" fillId="12" borderId="9" xfId="0" applyNumberFormat="1" applyFont="1" applyFill="1" applyBorder="1" applyAlignment="1"/>
    <xf numFmtId="176" fontId="43" fillId="12" borderId="9" xfId="0" applyNumberFormat="1" applyFont="1" applyFill="1" applyBorder="1"/>
    <xf numFmtId="0" fontId="43" fillId="0" borderId="9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76" fontId="43" fillId="0" borderId="0" xfId="0" applyNumberFormat="1" applyFont="1" applyBorder="1"/>
    <xf numFmtId="176" fontId="43" fillId="12" borderId="0" xfId="0" applyNumberFormat="1" applyFont="1" applyFill="1" applyBorder="1" applyAlignment="1">
      <alignment wrapText="1"/>
    </xf>
    <xf numFmtId="172" fontId="20" fillId="0" borderId="9" xfId="2" applyNumberFormat="1" applyBorder="1"/>
    <xf numFmtId="176" fontId="1" fillId="0" borderId="24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/>
    <xf numFmtId="166" fontId="20" fillId="0" borderId="0" xfId="2" applyNumberFormat="1" applyBorder="1"/>
    <xf numFmtId="176" fontId="46" fillId="3" borderId="9" xfId="2" applyNumberFormat="1" applyFont="1" applyFill="1" applyBorder="1" applyAlignment="1" applyProtection="1">
      <alignment wrapText="1"/>
    </xf>
    <xf numFmtId="176" fontId="47" fillId="3" borderId="9" xfId="0" applyNumberFormat="1" applyFont="1" applyFill="1" applyBorder="1" applyAlignment="1">
      <alignment wrapText="1"/>
    </xf>
    <xf numFmtId="164" fontId="48" fillId="0" borderId="0" xfId="0" applyNumberFormat="1" applyFont="1" applyBorder="1" applyAlignment="1">
      <alignment wrapText="1"/>
    </xf>
    <xf numFmtId="164" fontId="49" fillId="0" borderId="0" xfId="0" applyNumberFormat="1" applyFont="1" applyBorder="1" applyAlignment="1">
      <alignment wrapText="1"/>
    </xf>
    <xf numFmtId="181" fontId="46" fillId="3" borderId="0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165" fontId="46" fillId="3" borderId="0" xfId="0" applyNumberFormat="1" applyFont="1" applyFill="1" applyAlignment="1">
      <alignment wrapText="1"/>
    </xf>
    <xf numFmtId="166" fontId="46" fillId="3" borderId="0" xfId="0" applyNumberFormat="1" applyFont="1" applyFill="1" applyAlignment="1">
      <alignment wrapText="1"/>
    </xf>
    <xf numFmtId="0" fontId="46" fillId="3" borderId="0" xfId="0" applyFont="1" applyFill="1" applyAlignment="1">
      <alignment wrapText="1"/>
    </xf>
    <xf numFmtId="0" fontId="6" fillId="3" borderId="21" xfId="0" applyFont="1" applyFill="1" applyBorder="1" applyAlignment="1">
      <alignment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21" xfId="2" applyNumberFormat="1" applyFont="1" applyFill="1" applyBorder="1" applyAlignment="1" applyProtection="1">
      <alignment wrapText="1"/>
    </xf>
    <xf numFmtId="177" fontId="1" fillId="0" borderId="0" xfId="0" applyNumberFormat="1" applyFont="1"/>
    <xf numFmtId="176" fontId="1" fillId="0" borderId="0" xfId="0" applyNumberFormat="1" applyFont="1"/>
    <xf numFmtId="176" fontId="1" fillId="3" borderId="13" xfId="2" applyNumberFormat="1" applyFont="1" applyFill="1" applyBorder="1" applyAlignment="1" applyProtection="1">
      <alignment wrapText="1"/>
    </xf>
    <xf numFmtId="164" fontId="1" fillId="3" borderId="21" xfId="2" applyNumberFormat="1" applyFont="1" applyFill="1" applyBorder="1" applyAlignment="1" applyProtection="1">
      <alignment wrapText="1"/>
    </xf>
    <xf numFmtId="176" fontId="1" fillId="3" borderId="22" xfId="2" applyNumberFormat="1" applyFont="1" applyFill="1" applyBorder="1" applyAlignment="1" applyProtection="1">
      <alignment wrapText="1"/>
    </xf>
    <xf numFmtId="164" fontId="1" fillId="3" borderId="18" xfId="0" applyNumberFormat="1" applyFont="1" applyFill="1" applyBorder="1"/>
    <xf numFmtId="0" fontId="49" fillId="0" borderId="0" xfId="0" applyFont="1"/>
    <xf numFmtId="176" fontId="38" fillId="3" borderId="0" xfId="0" applyNumberFormat="1" applyFont="1" applyFill="1"/>
    <xf numFmtId="0" fontId="50" fillId="3" borderId="0" xfId="0" applyFont="1" applyFill="1"/>
    <xf numFmtId="0" fontId="50" fillId="0" borderId="0" xfId="0" applyFont="1"/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1" fillId="3" borderId="17" xfId="0" applyNumberFormat="1" applyFont="1" applyFill="1" applyBorder="1" applyAlignment="1">
      <alignment horizontal="left" wrapText="1"/>
    </xf>
    <xf numFmtId="164" fontId="1" fillId="3" borderId="16" xfId="0" applyNumberFormat="1" applyFont="1" applyFill="1" applyBorder="1" applyAlignment="1">
      <alignment horizontal="left" wrapText="1"/>
    </xf>
    <xf numFmtId="177" fontId="1" fillId="3" borderId="9" xfId="0" applyNumberFormat="1" applyFont="1" applyFill="1" applyBorder="1"/>
    <xf numFmtId="164" fontId="1" fillId="3" borderId="0" xfId="0" applyNumberFormat="1" applyFont="1" applyFill="1"/>
    <xf numFmtId="0" fontId="51" fillId="0" borderId="0" xfId="0" applyFont="1" applyAlignment="1">
      <alignment horizontal="left" vertical="center" indent="3"/>
    </xf>
    <xf numFmtId="0" fontId="1" fillId="3" borderId="1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75" fontId="1" fillId="3" borderId="9" xfId="0" applyNumberFormat="1" applyFont="1" applyFill="1" applyBorder="1"/>
    <xf numFmtId="1" fontId="1" fillId="3" borderId="0" xfId="0" applyNumberFormat="1" applyFont="1" applyFill="1"/>
    <xf numFmtId="164" fontId="1" fillId="3" borderId="9" xfId="0" applyNumberFormat="1" applyFont="1" applyFill="1" applyBorder="1"/>
    <xf numFmtId="10" fontId="1" fillId="3" borderId="0" xfId="0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1" fontId="6" fillId="0" borderId="9" xfId="0" applyNumberFormat="1" applyFont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Border="1"/>
    <xf numFmtId="176" fontId="6" fillId="3" borderId="9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/>
    <xf numFmtId="1" fontId="6" fillId="3" borderId="0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wrapText="1"/>
    </xf>
    <xf numFmtId="172" fontId="43" fillId="0" borderId="14" xfId="0" applyNumberFormat="1" applyFont="1" applyBorder="1" applyAlignment="1"/>
    <xf numFmtId="177" fontId="43" fillId="0" borderId="14" xfId="0" applyNumberFormat="1" applyFont="1" applyBorder="1" applyAlignment="1">
      <alignment wrapText="1"/>
    </xf>
    <xf numFmtId="177" fontId="43" fillId="3" borderId="14" xfId="0" applyNumberFormat="1" applyFont="1" applyFill="1" applyBorder="1"/>
    <xf numFmtId="177" fontId="43" fillId="0" borderId="9" xfId="0" applyNumberFormat="1" applyFont="1" applyBorder="1"/>
    <xf numFmtId="177" fontId="43" fillId="3" borderId="9" xfId="0" applyNumberFormat="1" applyFont="1" applyFill="1" applyBorder="1"/>
    <xf numFmtId="0" fontId="1" fillId="3" borderId="9" xfId="0" applyFont="1" applyFill="1" applyBorder="1"/>
    <xf numFmtId="0" fontId="43" fillId="3" borderId="0" xfId="0" applyFont="1" applyFill="1" applyBorder="1"/>
    <xf numFmtId="1" fontId="6" fillId="3" borderId="0" xfId="0" applyNumberFormat="1" applyFont="1" applyFill="1" applyBorder="1" applyAlignment="1">
      <alignment horizontal="right" vertical="center" wrapText="1"/>
    </xf>
    <xf numFmtId="1" fontId="52" fillId="3" borderId="0" xfId="0" applyNumberFormat="1" applyFont="1" applyFill="1" applyBorder="1" applyAlignment="1">
      <alignment wrapText="1"/>
    </xf>
    <xf numFmtId="1" fontId="52" fillId="0" borderId="0" xfId="0" applyNumberFormat="1" applyFont="1" applyBorder="1" applyAlignment="1">
      <alignment wrapText="1"/>
    </xf>
    <xf numFmtId="176" fontId="42" fillId="0" borderId="9" xfId="0" applyNumberFormat="1" applyFont="1" applyBorder="1" applyAlignment="1">
      <alignment wrapText="1"/>
    </xf>
    <xf numFmtId="176" fontId="1" fillId="3" borderId="24" xfId="0" applyNumberFormat="1" applyFont="1" applyFill="1" applyBorder="1" applyAlignment="1">
      <alignment horizontal="right" vertical="center" wrapText="1"/>
    </xf>
    <xf numFmtId="176" fontId="1" fillId="3" borderId="9" xfId="0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right" wrapText="1"/>
    </xf>
    <xf numFmtId="176" fontId="43" fillId="3" borderId="9" xfId="0" applyNumberFormat="1" applyFont="1" applyFill="1" applyBorder="1"/>
    <xf numFmtId="0" fontId="6" fillId="0" borderId="0" xfId="0" applyFont="1" applyBorder="1" applyAlignment="1">
      <alignment vertical="center" wrapText="1"/>
    </xf>
    <xf numFmtId="176" fontId="47" fillId="0" borderId="9" xfId="0" applyNumberFormat="1" applyFont="1" applyBorder="1" applyAlignment="1">
      <alignment wrapText="1"/>
    </xf>
    <xf numFmtId="176" fontId="48" fillId="0" borderId="0" xfId="0" applyNumberFormat="1" applyFont="1" applyBorder="1" applyAlignment="1">
      <alignment wrapText="1"/>
    </xf>
    <xf numFmtId="176" fontId="46" fillId="0" borderId="0" xfId="0" applyNumberFormat="1" applyFont="1" applyAlignment="1">
      <alignment wrapText="1"/>
    </xf>
    <xf numFmtId="0" fontId="43" fillId="0" borderId="24" xfId="0" applyFont="1" applyBorder="1" applyAlignment="1">
      <alignment wrapText="1"/>
    </xf>
    <xf numFmtId="172" fontId="44" fillId="0" borderId="9" xfId="0" applyNumberFormat="1" applyFont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176" fontId="41" fillId="0" borderId="24" xfId="0" applyNumberFormat="1" applyFont="1" applyBorder="1" applyAlignment="1">
      <alignment horizontal="right" vertical="center" wrapText="1"/>
    </xf>
    <xf numFmtId="176" fontId="43" fillId="12" borderId="9" xfId="0" applyNumberFormat="1" applyFont="1" applyFill="1" applyBorder="1" applyAlignment="1">
      <alignment horizontal="right"/>
    </xf>
    <xf numFmtId="0" fontId="42" fillId="13" borderId="9" xfId="0" applyFont="1" applyFill="1" applyBorder="1" applyAlignment="1">
      <alignment horizontal="right" wrapText="1"/>
    </xf>
    <xf numFmtId="176" fontId="43" fillId="13" borderId="9" xfId="0" applyNumberFormat="1" applyFont="1" applyFill="1" applyBorder="1" applyAlignment="1">
      <alignment horizontal="right"/>
    </xf>
    <xf numFmtId="176" fontId="43" fillId="13" borderId="9" xfId="0" applyNumberFormat="1" applyFont="1" applyFill="1" applyBorder="1"/>
    <xf numFmtId="0" fontId="1" fillId="13" borderId="0" xfId="0" applyFont="1" applyFill="1"/>
    <xf numFmtId="176" fontId="1" fillId="0" borderId="9" xfId="0" applyNumberFormat="1" applyFont="1" applyBorder="1" applyAlignment="1">
      <alignment horizontal="right" vertical="center" wrapText="1"/>
    </xf>
    <xf numFmtId="0" fontId="43" fillId="7" borderId="0" xfId="0" applyFont="1" applyFill="1"/>
    <xf numFmtId="0" fontId="42" fillId="7" borderId="0" xfId="0" applyFont="1" applyFill="1"/>
    <xf numFmtId="0" fontId="43" fillId="3" borderId="0" xfId="0" applyFont="1" applyFill="1"/>
    <xf numFmtId="178" fontId="42" fillId="0" borderId="9" xfId="0" applyNumberFormat="1" applyFont="1" applyBorder="1" applyAlignment="1">
      <alignment horizontal="right"/>
    </xf>
    <xf numFmtId="179" fontId="43" fillId="0" borderId="9" xfId="0" applyNumberFormat="1" applyFont="1" applyBorder="1" applyAlignment="1"/>
    <xf numFmtId="176" fontId="44" fillId="0" borderId="9" xfId="0" applyNumberFormat="1" applyFont="1" applyBorder="1" applyAlignment="1">
      <alignment wrapText="1"/>
    </xf>
    <xf numFmtId="0" fontId="42" fillId="14" borderId="0" xfId="0" applyFont="1" applyFill="1"/>
    <xf numFmtId="179" fontId="43" fillId="0" borderId="9" xfId="0" applyNumberFormat="1" applyFont="1" applyBorder="1"/>
    <xf numFmtId="178" fontId="43" fillId="0" borderId="9" xfId="0" applyNumberFormat="1" applyFont="1" applyBorder="1" applyAlignment="1">
      <alignment horizontal="right"/>
    </xf>
    <xf numFmtId="164" fontId="43" fillId="0" borderId="0" xfId="0" applyNumberFormat="1" applyFont="1" applyBorder="1"/>
    <xf numFmtId="0" fontId="42" fillId="8" borderId="0" xfId="0" applyFont="1" applyFill="1"/>
    <xf numFmtId="0" fontId="1" fillId="8" borderId="0" xfId="0" applyFont="1" applyFill="1"/>
    <xf numFmtId="172" fontId="1" fillId="8" borderId="0" xfId="0" applyNumberFormat="1" applyFont="1" applyFill="1" applyAlignment="1">
      <alignment horizontal="right"/>
    </xf>
    <xf numFmtId="0" fontId="1" fillId="8" borderId="0" xfId="0" applyFont="1" applyFill="1" applyBorder="1"/>
    <xf numFmtId="164" fontId="43" fillId="0" borderId="9" xfId="0" applyNumberFormat="1" applyFont="1" applyBorder="1"/>
    <xf numFmtId="1" fontId="1" fillId="3" borderId="0" xfId="2" applyNumberFormat="1" applyFont="1" applyFill="1" applyBorder="1" applyAlignment="1" applyProtection="1">
      <alignment horizontal="right"/>
    </xf>
    <xf numFmtId="176" fontId="1" fillId="0" borderId="9" xfId="0" applyNumberFormat="1" applyFont="1" applyBorder="1"/>
    <xf numFmtId="172" fontId="1" fillId="3" borderId="9" xfId="2" applyNumberFormat="1" applyFont="1" applyFill="1" applyBorder="1" applyProtection="1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76" fontId="1" fillId="3" borderId="9" xfId="0" applyNumberFormat="1" applyFont="1" applyFill="1" applyBorder="1" applyAlignment="1">
      <alignment vertical="center" wrapText="1"/>
    </xf>
    <xf numFmtId="164" fontId="53" fillId="0" borderId="20" xfId="0" applyNumberFormat="1" applyFont="1" applyBorder="1" applyAlignment="1">
      <alignment wrapText="1"/>
    </xf>
    <xf numFmtId="176" fontId="53" fillId="3" borderId="0" xfId="0" applyNumberFormat="1" applyFont="1" applyFill="1"/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Border="1"/>
    <xf numFmtId="176" fontId="1" fillId="0" borderId="18" xfId="2" applyNumberFormat="1" applyFont="1" applyBorder="1" applyAlignment="1" applyProtection="1">
      <alignment wrapText="1"/>
    </xf>
    <xf numFmtId="176" fontId="1" fillId="0" borderId="0" xfId="2" applyNumberFormat="1" applyFont="1" applyBorder="1" applyAlignment="1" applyProtection="1">
      <alignment wrapText="1"/>
    </xf>
    <xf numFmtId="176" fontId="1" fillId="0" borderId="21" xfId="2" applyNumberFormat="1" applyFont="1" applyBorder="1" applyAlignment="1" applyProtection="1">
      <alignment wrapText="1"/>
    </xf>
    <xf numFmtId="176" fontId="1" fillId="0" borderId="22" xfId="0" applyNumberFormat="1" applyFont="1" applyBorder="1"/>
    <xf numFmtId="176" fontId="1" fillId="0" borderId="16" xfId="0" applyNumberFormat="1" applyFont="1" applyBorder="1"/>
    <xf numFmtId="176" fontId="1" fillId="0" borderId="18" xfId="0" applyNumberFormat="1" applyFont="1" applyBorder="1" applyAlignment="1">
      <alignment wrapText="1"/>
    </xf>
    <xf numFmtId="176" fontId="1" fillId="0" borderId="23" xfId="0" applyNumberFormat="1" applyFont="1" applyBorder="1"/>
    <xf numFmtId="176" fontId="1" fillId="0" borderId="13" xfId="0" applyNumberFormat="1" applyFont="1" applyBorder="1"/>
    <xf numFmtId="176" fontId="38" fillId="0" borderId="20" xfId="0" applyNumberFormat="1" applyFont="1" applyBorder="1" applyAlignment="1">
      <alignment wrapText="1"/>
    </xf>
    <xf numFmtId="176" fontId="38" fillId="0" borderId="0" xfId="0" applyNumberFormat="1" applyFont="1" applyBorder="1"/>
    <xf numFmtId="176" fontId="38" fillId="0" borderId="20" xfId="0" applyNumberFormat="1" applyFont="1" applyBorder="1"/>
    <xf numFmtId="176" fontId="46" fillId="0" borderId="9" xfId="2" quotePrefix="1" applyNumberFormat="1" applyFont="1" applyBorder="1" applyAlignment="1" applyProtection="1">
      <alignment wrapText="1"/>
    </xf>
    <xf numFmtId="176" fontId="47" fillId="0" borderId="9" xfId="0" applyNumberFormat="1" applyFont="1" applyBorder="1"/>
    <xf numFmtId="176" fontId="48" fillId="0" borderId="0" xfId="0" applyNumberFormat="1" applyFont="1" applyBorder="1"/>
    <xf numFmtId="0" fontId="46" fillId="0" borderId="0" xfId="0" applyFont="1"/>
    <xf numFmtId="165" fontId="46" fillId="0" borderId="0" xfId="2" applyNumberFormat="1" applyFont="1" applyBorder="1" applyProtection="1"/>
    <xf numFmtId="166" fontId="46" fillId="0" borderId="0" xfId="0" applyNumberFormat="1" applyFont="1"/>
    <xf numFmtId="176" fontId="46" fillId="0" borderId="9" xfId="2" applyNumberFormat="1" applyFont="1" applyBorder="1" applyAlignment="1" applyProtection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1" fontId="6" fillId="0" borderId="27" xfId="0" applyNumberFormat="1" applyFont="1" applyBorder="1" applyAlignment="1">
      <alignment horizontal="center" vertical="center" wrapText="1"/>
    </xf>
    <xf numFmtId="176" fontId="1" fillId="0" borderId="14" xfId="2" applyNumberFormat="1" applyFont="1" applyBorder="1" applyAlignment="1" applyProtection="1">
      <alignment wrapText="1"/>
    </xf>
    <xf numFmtId="176" fontId="1" fillId="0" borderId="17" xfId="0" applyNumberFormat="1" applyFont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" fontId="1" fillId="0" borderId="9" xfId="2" applyNumberFormat="1" applyFont="1" applyBorder="1" applyProtection="1"/>
    <xf numFmtId="177" fontId="1" fillId="0" borderId="9" xfId="0" applyNumberFormat="1" applyFont="1" applyBorder="1"/>
    <xf numFmtId="182" fontId="43" fillId="0" borderId="24" xfId="0" applyNumberFormat="1" applyFont="1" applyBorder="1" applyAlignment="1">
      <alignment wrapText="1"/>
    </xf>
    <xf numFmtId="176" fontId="44" fillId="0" borderId="24" xfId="0" applyNumberFormat="1" applyFont="1" applyBorder="1" applyAlignment="1">
      <alignment horizontal="right" vertical="center" wrapText="1"/>
    </xf>
    <xf numFmtId="177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/>
    <xf numFmtId="0" fontId="1" fillId="0" borderId="9" xfId="0" applyNumberFormat="1" applyFont="1" applyBorder="1"/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right" vertical="center" wrapText="1"/>
    </xf>
    <xf numFmtId="173" fontId="1" fillId="0" borderId="0" xfId="0" applyNumberFormat="1" applyFont="1"/>
    <xf numFmtId="176" fontId="1" fillId="3" borderId="17" xfId="0" applyNumberFormat="1" applyFont="1" applyFill="1" applyBorder="1" applyAlignment="1">
      <alignment horizontal="left"/>
    </xf>
    <xf numFmtId="176" fontId="1" fillId="3" borderId="16" xfId="0" applyNumberFormat="1" applyFont="1" applyFill="1" applyBorder="1" applyAlignment="1">
      <alignment horizontal="left"/>
    </xf>
    <xf numFmtId="172" fontId="43" fillId="0" borderId="9" xfId="0" applyNumberFormat="1" applyFont="1" applyBorder="1"/>
    <xf numFmtId="172" fontId="43" fillId="0" borderId="9" xfId="0" quotePrefix="1" applyNumberFormat="1" applyFont="1" applyBorder="1" applyAlignment="1"/>
    <xf numFmtId="1" fontId="1" fillId="0" borderId="9" xfId="0" applyNumberFormat="1" applyFont="1" applyBorder="1"/>
    <xf numFmtId="0" fontId="6" fillId="0" borderId="0" xfId="4" applyFont="1"/>
    <xf numFmtId="0" fontId="1" fillId="0" borderId="0" xfId="4" applyFont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0" fontId="1" fillId="0" borderId="0" xfId="4" applyFont="1" applyBorder="1" applyAlignment="1"/>
    <xf numFmtId="0" fontId="54" fillId="12" borderId="34" xfId="5" applyFont="1" applyFill="1" applyBorder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/>
    <xf numFmtId="164" fontId="1" fillId="0" borderId="21" xfId="0" applyNumberFormat="1" applyFont="1" applyBorder="1" applyAlignment="1">
      <alignment wrapText="1"/>
    </xf>
    <xf numFmtId="176" fontId="38" fillId="0" borderId="0" xfId="0" applyNumberFormat="1" applyFont="1" applyBorder="1" applyAlignment="1">
      <alignment wrapText="1"/>
    </xf>
    <xf numFmtId="165" fontId="46" fillId="0" borderId="0" xfId="0" applyNumberFormat="1" applyFont="1"/>
    <xf numFmtId="0" fontId="47" fillId="0" borderId="9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177" fontId="48" fillId="0" borderId="0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" fillId="0" borderId="26" xfId="0" applyFont="1" applyBorder="1"/>
    <xf numFmtId="171" fontId="6" fillId="0" borderId="21" xfId="0" applyNumberFormat="1" applyFont="1" applyBorder="1" applyAlignment="1">
      <alignment horizontal="center" vertical="center" wrapText="1"/>
    </xf>
    <xf numFmtId="176" fontId="1" fillId="3" borderId="14" xfId="2" applyNumberFormat="1" applyFont="1" applyFill="1" applyBorder="1" applyAlignment="1" applyProtection="1">
      <alignment wrapText="1"/>
    </xf>
    <xf numFmtId="176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1" fillId="3" borderId="17" xfId="0" applyNumberFormat="1" applyFont="1" applyFill="1" applyBorder="1"/>
    <xf numFmtId="164" fontId="1" fillId="0" borderId="16" xfId="0" applyNumberFormat="1" applyFont="1" applyBorder="1"/>
    <xf numFmtId="1" fontId="1" fillId="0" borderId="0" xfId="2" applyNumberFormat="1" applyFont="1" applyBorder="1" applyProtection="1"/>
    <xf numFmtId="164" fontId="53" fillId="0" borderId="0" xfId="0" applyNumberFormat="1" applyFont="1"/>
    <xf numFmtId="0" fontId="1" fillId="0" borderId="0" xfId="0" applyFont="1" applyBorder="1" applyAlignment="1"/>
    <xf numFmtId="1" fontId="1" fillId="3" borderId="23" xfId="2" applyNumberFormat="1" applyFont="1" applyFill="1" applyBorder="1" applyAlignment="1" applyProtection="1">
      <alignment horizontal="left" wrapText="1"/>
    </xf>
    <xf numFmtId="172" fontId="1" fillId="0" borderId="9" xfId="2" applyNumberFormat="1" applyFont="1" applyBorder="1" applyProtection="1"/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1" fillId="0" borderId="0" xfId="2" applyNumberFormat="1" applyFont="1" applyBorder="1" applyAlignment="1" applyProtection="1">
      <alignment wrapText="1"/>
    </xf>
    <xf numFmtId="176" fontId="1" fillId="0" borderId="26" xfId="2" applyNumberFormat="1" applyFont="1" applyBorder="1" applyAlignment="1" applyProtection="1">
      <alignment wrapText="1"/>
    </xf>
    <xf numFmtId="180" fontId="1" fillId="0" borderId="21" xfId="2" applyNumberFormat="1" applyFont="1" applyBorder="1" applyAlignment="1" applyProtection="1">
      <alignment wrapText="1"/>
    </xf>
    <xf numFmtId="176" fontId="1" fillId="0" borderId="21" xfId="0" applyNumberFormat="1" applyFont="1" applyBorder="1"/>
    <xf numFmtId="165" fontId="1" fillId="0" borderId="0" xfId="0" applyNumberFormat="1" applyFont="1" applyBorder="1"/>
    <xf numFmtId="177" fontId="1" fillId="0" borderId="22" xfId="0" applyNumberFormat="1" applyFont="1" applyBorder="1"/>
    <xf numFmtId="177" fontId="1" fillId="0" borderId="16" xfId="0" applyNumberFormat="1" applyFont="1" applyBorder="1"/>
    <xf numFmtId="164" fontId="1" fillId="0" borderId="22" xfId="0" applyNumberFormat="1" applyFont="1" applyBorder="1"/>
    <xf numFmtId="177" fontId="50" fillId="0" borderId="20" xfId="2" applyNumberFormat="1" applyFont="1" applyBorder="1" applyAlignment="1" applyProtection="1">
      <alignment wrapText="1"/>
    </xf>
    <xf numFmtId="177" fontId="50" fillId="0" borderId="0" xfId="0" applyNumberFormat="1" applyFont="1"/>
    <xf numFmtId="177" fontId="38" fillId="0" borderId="0" xfId="2" applyNumberFormat="1" applyFont="1" applyBorder="1" applyProtection="1"/>
    <xf numFmtId="164" fontId="38" fillId="0" borderId="0" xfId="2" applyNumberFormat="1" applyFont="1" applyBorder="1" applyProtection="1"/>
    <xf numFmtId="176" fontId="50" fillId="0" borderId="20" xfId="2" applyNumberFormat="1" applyFont="1" applyBorder="1" applyAlignment="1" applyProtection="1">
      <alignment wrapText="1"/>
    </xf>
    <xf numFmtId="176" fontId="38" fillId="0" borderId="0" xfId="2" applyNumberFormat="1" applyFont="1" applyBorder="1" applyProtection="1"/>
    <xf numFmtId="1" fontId="1" fillId="3" borderId="9" xfId="2" applyNumberFormat="1" applyFont="1" applyFill="1" applyBorder="1" applyAlignment="1" applyProtection="1">
      <alignment horizontal="right" wrapText="1"/>
    </xf>
    <xf numFmtId="172" fontId="1" fillId="0" borderId="16" xfId="2" applyNumberFormat="1" applyFont="1" applyBorder="1" applyProtection="1"/>
    <xf numFmtId="0" fontId="6" fillId="0" borderId="25" xfId="0" applyFont="1" applyBorder="1" applyAlignment="1">
      <alignment horizontal="left" vertical="center" wrapText="1"/>
    </xf>
    <xf numFmtId="164" fontId="1" fillId="0" borderId="9" xfId="0" applyNumberFormat="1" applyFont="1" applyBorder="1"/>
    <xf numFmtId="164" fontId="1" fillId="0" borderId="21" xfId="2" applyNumberFormat="1" applyFont="1" applyBorder="1" applyAlignment="1" applyProtection="1">
      <alignment wrapText="1"/>
    </xf>
    <xf numFmtId="167" fontId="1" fillId="0" borderId="21" xfId="2" applyNumberFormat="1" applyFont="1" applyBorder="1" applyAlignment="1" applyProtection="1">
      <alignment wrapText="1"/>
    </xf>
    <xf numFmtId="167" fontId="1" fillId="0" borderId="21" xfId="0" applyNumberFormat="1" applyFont="1" applyBorder="1"/>
    <xf numFmtId="176" fontId="1" fillId="0" borderId="27" xfId="0" applyNumberFormat="1" applyFont="1" applyBorder="1"/>
    <xf numFmtId="167" fontId="1" fillId="0" borderId="27" xfId="0" applyNumberFormat="1" applyFont="1" applyBorder="1"/>
    <xf numFmtId="165" fontId="1" fillId="0" borderId="18" xfId="0" applyNumberFormat="1" applyFont="1" applyBorder="1" applyAlignment="1">
      <alignment wrapText="1"/>
    </xf>
    <xf numFmtId="167" fontId="1" fillId="0" borderId="16" xfId="0" applyNumberFormat="1" applyFont="1" applyBorder="1"/>
    <xf numFmtId="165" fontId="38" fillId="0" borderId="26" xfId="0" applyNumberFormat="1" applyFont="1" applyBorder="1" applyAlignment="1">
      <alignment wrapText="1"/>
    </xf>
    <xf numFmtId="165" fontId="38" fillId="0" borderId="0" xfId="0" applyNumberFormat="1" applyFont="1" applyBorder="1" applyAlignment="1">
      <alignment wrapText="1"/>
    </xf>
    <xf numFmtId="167" fontId="38" fillId="0" borderId="20" xfId="0" applyNumberFormat="1" applyFont="1" applyBorder="1"/>
    <xf numFmtId="0" fontId="38" fillId="0" borderId="0" xfId="0" applyFont="1"/>
    <xf numFmtId="165" fontId="1" fillId="0" borderId="26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74" fontId="1" fillId="0" borderId="0" xfId="0" applyNumberFormat="1" applyFont="1" applyBorder="1"/>
    <xf numFmtId="1" fontId="1" fillId="0" borderId="0" xfId="0" applyNumberFormat="1" applyFont="1" applyBorder="1"/>
    <xf numFmtId="167" fontId="1" fillId="0" borderId="0" xfId="0" applyNumberFormat="1" applyFont="1" applyBorder="1"/>
    <xf numFmtId="164" fontId="46" fillId="0" borderId="0" xfId="0" applyNumberFormat="1" applyFont="1"/>
    <xf numFmtId="176" fontId="46" fillId="0" borderId="9" xfId="0" applyNumberFormat="1" applyFont="1" applyBorder="1"/>
    <xf numFmtId="0" fontId="46" fillId="0" borderId="35" xfId="0" applyFont="1" applyBorder="1" applyAlignment="1">
      <alignment horizontal="center" vertical="center" wrapText="1"/>
    </xf>
    <xf numFmtId="164" fontId="46" fillId="0" borderId="35" xfId="0" applyNumberFormat="1" applyFont="1" applyBorder="1"/>
    <xf numFmtId="176" fontId="46" fillId="0" borderId="35" xfId="0" applyNumberFormat="1" applyFont="1" applyBorder="1"/>
    <xf numFmtId="176" fontId="46" fillId="0" borderId="36" xfId="0" applyNumberFormat="1" applyFont="1" applyBorder="1"/>
    <xf numFmtId="176" fontId="47" fillId="0" borderId="30" xfId="0" applyNumberFormat="1" applyFont="1" applyBorder="1"/>
    <xf numFmtId="0" fontId="48" fillId="0" borderId="0" xfId="0" applyFont="1"/>
    <xf numFmtId="164" fontId="6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wrapText="1"/>
    </xf>
    <xf numFmtId="164" fontId="1" fillId="0" borderId="21" xfId="0" applyNumberFormat="1" applyFont="1" applyBorder="1"/>
    <xf numFmtId="0" fontId="1" fillId="0" borderId="3" xfId="0" applyFont="1" applyBorder="1"/>
    <xf numFmtId="10" fontId="1" fillId="0" borderId="3" xfId="2" applyNumberFormat="1" applyFont="1" applyBorder="1" applyAlignment="1" applyProtection="1">
      <alignment wrapText="1"/>
    </xf>
    <xf numFmtId="0" fontId="1" fillId="0" borderId="7" xfId="0" applyFont="1" applyBorder="1"/>
    <xf numFmtId="165" fontId="1" fillId="0" borderId="14" xfId="0" applyNumberFormat="1" applyFont="1" applyBorder="1" applyAlignment="1">
      <alignment wrapText="1"/>
    </xf>
    <xf numFmtId="167" fontId="1" fillId="0" borderId="9" xfId="0" applyNumberFormat="1" applyFont="1" applyBorder="1"/>
    <xf numFmtId="167" fontId="1" fillId="0" borderId="0" xfId="0" applyNumberFormat="1" applyFont="1"/>
    <xf numFmtId="0" fontId="46" fillId="0" borderId="9" xfId="0" applyFont="1" applyBorder="1"/>
    <xf numFmtId="164" fontId="46" fillId="0" borderId="9" xfId="0" applyNumberFormat="1" applyFont="1" applyBorder="1"/>
    <xf numFmtId="164" fontId="46" fillId="0" borderId="0" xfId="0" applyNumberFormat="1" applyFont="1" applyBorder="1" applyAlignment="1">
      <alignment wrapText="1"/>
    </xf>
    <xf numFmtId="164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wrapText="1"/>
    </xf>
    <xf numFmtId="166" fontId="46" fillId="3" borderId="0" xfId="2" applyNumberFormat="1" applyFont="1" applyFill="1" applyBorder="1" applyAlignment="1" applyProtection="1">
      <alignment wrapText="1"/>
    </xf>
    <xf numFmtId="0" fontId="46" fillId="3" borderId="0" xfId="0" applyFont="1" applyFill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6" fontId="0" fillId="0" borderId="0" xfId="0" applyNumberFormat="1"/>
    <xf numFmtId="0" fontId="6" fillId="3" borderId="9" xfId="0" applyFont="1" applyFill="1" applyBorder="1" applyAlignment="1">
      <alignment horizontal="center" vertical="center" wrapText="1"/>
    </xf>
    <xf numFmtId="166" fontId="22" fillId="0" borderId="16" xfId="2" applyNumberFormat="1" applyFont="1" applyBorder="1" applyAlignment="1">
      <alignment vertical="center" wrapText="1"/>
    </xf>
    <xf numFmtId="176" fontId="56" fillId="0" borderId="0" xfId="0" applyNumberFormat="1" applyFont="1"/>
    <xf numFmtId="176" fontId="57" fillId="0" borderId="9" xfId="0" applyNumberFormat="1" applyFont="1" applyBorder="1" applyAlignment="1">
      <alignment horizontal="center" vertical="center" wrapText="1"/>
    </xf>
    <xf numFmtId="176" fontId="58" fillId="0" borderId="9" xfId="2" applyNumberFormat="1" applyFont="1" applyBorder="1" applyAlignment="1" applyProtection="1">
      <alignment wrapText="1"/>
    </xf>
    <xf numFmtId="167" fontId="57" fillId="0" borderId="9" xfId="0" applyNumberFormat="1" applyFont="1" applyBorder="1" applyAlignment="1">
      <alignment wrapText="1"/>
    </xf>
    <xf numFmtId="177" fontId="59" fillId="0" borderId="0" xfId="2" applyNumberFormat="1" applyFont="1" applyBorder="1" applyAlignment="1">
      <alignment wrapText="1"/>
    </xf>
    <xf numFmtId="164" fontId="59" fillId="0" borderId="0" xfId="0" applyNumberFormat="1" applyFont="1" applyBorder="1" applyAlignment="1">
      <alignment wrapText="1"/>
    </xf>
    <xf numFmtId="0" fontId="58" fillId="0" borderId="0" xfId="0" applyFont="1" applyAlignment="1">
      <alignment wrapText="1"/>
    </xf>
    <xf numFmtId="176" fontId="57" fillId="0" borderId="9" xfId="0" applyNumberFormat="1" applyFont="1" applyBorder="1" applyAlignment="1">
      <alignment wrapText="1"/>
    </xf>
    <xf numFmtId="176" fontId="59" fillId="0" borderId="0" xfId="0" applyNumberFormat="1" applyFont="1" applyBorder="1" applyAlignment="1">
      <alignment wrapText="1"/>
    </xf>
    <xf numFmtId="176" fontId="58" fillId="0" borderId="0" xfId="0" applyNumberFormat="1" applyFont="1" applyAlignment="1">
      <alignment wrapText="1"/>
    </xf>
    <xf numFmtId="175" fontId="60" fillId="0" borderId="9" xfId="3" applyNumberFormat="1" applyFont="1" applyBorder="1" applyAlignment="1" applyProtection="1">
      <alignment horizontal="center" vertical="center" wrapText="1"/>
    </xf>
    <xf numFmtId="164" fontId="57" fillId="0" borderId="9" xfId="0" applyNumberFormat="1" applyFont="1" applyBorder="1" applyAlignment="1">
      <alignment horizontal="center" vertical="center"/>
    </xf>
    <xf numFmtId="167" fontId="57" fillId="0" borderId="9" xfId="0" applyNumberFormat="1" applyFont="1" applyBorder="1"/>
    <xf numFmtId="176" fontId="59" fillId="0" borderId="0" xfId="0" applyNumberFormat="1" applyFont="1" applyBorder="1"/>
    <xf numFmtId="0" fontId="58" fillId="0" borderId="0" xfId="0" applyFont="1"/>
    <xf numFmtId="0" fontId="58" fillId="0" borderId="9" xfId="0" applyFont="1" applyBorder="1" applyAlignment="1">
      <alignment horizontal="center" vertical="center" wrapText="1"/>
    </xf>
    <xf numFmtId="176" fontId="58" fillId="0" borderId="9" xfId="0" applyNumberFormat="1" applyFont="1" applyBorder="1"/>
    <xf numFmtId="0" fontId="0" fillId="0" borderId="0" xfId="0" applyAlignment="1">
      <alignment horizontal="left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175" fontId="45" fillId="3" borderId="9" xfId="3" applyNumberFormat="1" applyFont="1" applyFill="1" applyBorder="1" applyAlignment="1" applyProtection="1">
      <alignment horizontal="center" vertical="center" wrapText="1"/>
    </xf>
    <xf numFmtId="175" fontId="45" fillId="0" borderId="9" xfId="3" applyNumberFormat="1" applyFont="1" applyBorder="1" applyAlignment="1" applyProtection="1">
      <alignment horizontal="center" vertical="center" wrapText="1"/>
    </xf>
    <xf numFmtId="0" fontId="60" fillId="0" borderId="9" xfId="3" applyFont="1" applyBorder="1" applyAlignment="1" applyProtection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75" fontId="45" fillId="0" borderId="17" xfId="3" applyNumberFormat="1" applyFont="1" applyBorder="1" applyAlignment="1" applyProtection="1">
      <alignment horizontal="center" vertical="center" wrapText="1"/>
    </xf>
    <xf numFmtId="175" fontId="45" fillId="0" borderId="22" xfId="3" applyNumberFormat="1" applyFont="1" applyBorder="1" applyAlignment="1" applyProtection="1">
      <alignment horizontal="center" vertical="center" wrapText="1"/>
    </xf>
    <xf numFmtId="175" fontId="45" fillId="0" borderId="16" xfId="3" applyNumberFormat="1" applyFont="1" applyBorder="1" applyAlignment="1" applyProtection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5" fontId="45" fillId="0" borderId="9" xfId="3" applyNumberFormat="1" applyFont="1" applyBorder="1" applyAlignment="1" applyProtection="1">
      <alignment horizontal="center" vertical="center"/>
    </xf>
    <xf numFmtId="0" fontId="57" fillId="0" borderId="9" xfId="0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wrapText="1"/>
    </xf>
    <xf numFmtId="10" fontId="4" fillId="0" borderId="2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right" vertical="center" wrapText="1"/>
    </xf>
    <xf numFmtId="0" fontId="43" fillId="0" borderId="9" xfId="0" applyFont="1" applyBorder="1" applyAlignment="1">
      <alignment horizontal="right"/>
    </xf>
    <xf numFmtId="0" fontId="42" fillId="0" borderId="9" xfId="0" applyFont="1" applyBorder="1" applyAlignment="1">
      <alignment horizontal="right"/>
    </xf>
    <xf numFmtId="0" fontId="44" fillId="12" borderId="9" xfId="0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right"/>
    </xf>
    <xf numFmtId="0" fontId="42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42" fillId="0" borderId="13" xfId="0" applyFont="1" applyBorder="1" applyAlignment="1">
      <alignment horizontal="right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1" fillId="3" borderId="23" xfId="2" applyNumberFormat="1" applyFont="1" applyFill="1" applyBorder="1" applyAlignment="1" applyProtection="1">
      <alignment horizontal="center" wrapText="1"/>
    </xf>
    <xf numFmtId="164" fontId="1" fillId="3" borderId="9" xfId="0" applyNumberFormat="1" applyFont="1" applyFill="1" applyBorder="1" applyAlignment="1">
      <alignment horizontal="righ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3" borderId="0" xfId="2" applyNumberFormat="1" applyFont="1" applyFill="1" applyBorder="1" applyAlignment="1" applyProtection="1">
      <alignment horizontal="center" wrapText="1"/>
    </xf>
    <xf numFmtId="164" fontId="43" fillId="0" borderId="9" xfId="0" applyNumberFormat="1" applyFont="1" applyBorder="1" applyAlignment="1">
      <alignment horizontal="right" wrapText="1"/>
    </xf>
    <xf numFmtId="0" fontId="42" fillId="12" borderId="9" xfId="0" applyFont="1" applyFill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0" fontId="43" fillId="0" borderId="9" xfId="0" applyFont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1" fillId="3" borderId="0" xfId="2" applyNumberFormat="1" applyFont="1" applyFill="1" applyBorder="1" applyAlignment="1" applyProtection="1">
      <alignment horizontal="center" wrapText="1"/>
    </xf>
    <xf numFmtId="1" fontId="1" fillId="0" borderId="9" xfId="2" applyNumberFormat="1" applyFont="1" applyBorder="1" applyAlignment="1" applyProtection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1" fillId="3" borderId="17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1" fontId="1" fillId="3" borderId="9" xfId="2" applyNumberFormat="1" applyFont="1" applyFill="1" applyBorder="1" applyAlignment="1" applyProtection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</cellXfs>
  <cellStyles count="6"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1</xdr:col>
      <xdr:colOff>1247587</xdr:colOff>
      <xdr:row>5</xdr:row>
      <xdr:rowOff>130735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756" y="0"/>
          <a:ext cx="888998" cy="10832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LS48"/>
  <sheetViews>
    <sheetView tabSelected="1" topLeftCell="A31" zoomScale="85" zoomScaleNormal="85" workbookViewId="0">
      <selection activeCell="B52" sqref="B52"/>
    </sheetView>
  </sheetViews>
  <sheetFormatPr baseColWidth="10" defaultColWidth="9.140625" defaultRowHeight="15" x14ac:dyDescent="0.25"/>
  <cols>
    <col min="1" max="1" width="4.140625" style="25" customWidth="1"/>
    <col min="2" max="2" width="37.28515625" customWidth="1"/>
    <col min="3" max="3" width="71.42578125" style="1" customWidth="1"/>
    <col min="4" max="4" width="17.7109375" style="196" customWidth="1"/>
    <col min="5" max="5" width="19.42578125" style="218" customWidth="1"/>
    <col min="6" max="6" width="18.7109375" style="2" customWidth="1"/>
    <col min="7" max="7" width="17.85546875" style="2" customWidth="1"/>
    <col min="8" max="8" width="3.7109375" style="2" hidden="1" customWidth="1"/>
    <col min="9" max="9" width="1.140625" style="2" customWidth="1"/>
    <col min="10" max="10" width="22.28515625" style="146" customWidth="1"/>
    <col min="11" max="11" width="9.140625" style="4"/>
    <col min="12" max="13" width="9.140625" style="5"/>
    <col min="14" max="14" width="9.140625" style="6"/>
    <col min="15" max="15" width="11.140625" style="1" customWidth="1"/>
    <col min="16" max="16" width="10.7109375" style="3" bestFit="1" customWidth="1"/>
    <col min="17" max="17" width="9.140625" style="7"/>
    <col min="18" max="1007" width="9.140625" style="1"/>
  </cols>
  <sheetData>
    <row r="1" spans="1:1007" x14ac:dyDescent="0.25">
      <c r="C1"/>
      <c r="D1" s="153"/>
      <c r="E1" s="205"/>
      <c r="F1"/>
      <c r="G1"/>
      <c r="H1" s="25"/>
      <c r="I1"/>
      <c r="J1" s="1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s="25" customFormat="1" x14ac:dyDescent="0.25">
      <c r="D2" s="153"/>
      <c r="E2" s="205"/>
      <c r="J2" s="142"/>
    </row>
    <row r="3" spans="1:1007" s="25" customFormat="1" x14ac:dyDescent="0.25">
      <c r="D3" s="153"/>
      <c r="E3" s="205"/>
      <c r="J3" s="142"/>
    </row>
    <row r="4" spans="1:1007" x14ac:dyDescent="0.25">
      <c r="C4"/>
      <c r="D4" s="153"/>
      <c r="E4" s="712" t="s">
        <v>456</v>
      </c>
      <c r="F4" s="712"/>
      <c r="G4" s="712"/>
      <c r="H4" s="712"/>
      <c r="I4" s="7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1:1007" s="10" customFormat="1" x14ac:dyDescent="0.25">
      <c r="C5" s="690"/>
      <c r="D5" s="197"/>
      <c r="E5" s="206"/>
      <c r="J5" s="146"/>
      <c r="K5" s="12"/>
      <c r="L5" s="13"/>
      <c r="M5" s="13"/>
      <c r="N5" s="14"/>
      <c r="P5" s="11"/>
      <c r="Q5" s="15"/>
    </row>
    <row r="6" spans="1:1007" x14ac:dyDescent="0.25">
      <c r="C6" s="716" t="s">
        <v>369</v>
      </c>
      <c r="D6" s="716"/>
      <c r="E6" s="716"/>
      <c r="F6" s="716"/>
      <c r="G6" s="716"/>
      <c r="H6" s="716"/>
      <c r="I6" s="716"/>
      <c r="J6" s="59"/>
      <c r="K6" s="12"/>
      <c r="L6" s="13"/>
      <c r="M6" s="13"/>
      <c r="N6" s="14"/>
      <c r="O6"/>
      <c r="P6" s="11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07" ht="44.25" customHeight="1" x14ac:dyDescent="0.25">
      <c r="B7" s="166" t="s">
        <v>420</v>
      </c>
      <c r="C7" s="717" t="s">
        <v>416</v>
      </c>
      <c r="D7" s="717"/>
      <c r="E7" s="717"/>
      <c r="F7" s="717"/>
      <c r="G7" s="717"/>
      <c r="H7" s="180"/>
      <c r="I7" s="187"/>
      <c r="J7" s="332" t="s">
        <v>426</v>
      </c>
      <c r="K7" s="12"/>
      <c r="L7" s="13"/>
      <c r="M7" s="13"/>
      <c r="N7" s="14"/>
      <c r="O7"/>
      <c r="P7" s="11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1:1007" ht="45" x14ac:dyDescent="0.25">
      <c r="B8" s="167" t="s">
        <v>455</v>
      </c>
      <c r="C8" s="159" t="s">
        <v>1</v>
      </c>
      <c r="D8" s="143" t="s">
        <v>421</v>
      </c>
      <c r="E8" s="207" t="s">
        <v>428</v>
      </c>
      <c r="F8" s="143" t="s">
        <v>422</v>
      </c>
      <c r="G8" s="143" t="s">
        <v>423</v>
      </c>
      <c r="H8" s="181"/>
      <c r="I8" s="181"/>
      <c r="J8" s="143" t="s">
        <v>422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1:1007" ht="15" customHeight="1" x14ac:dyDescent="0.25">
      <c r="A9" s="192" t="s">
        <v>403</v>
      </c>
      <c r="B9" s="171" t="s">
        <v>417</v>
      </c>
      <c r="C9" s="174" t="s">
        <v>5</v>
      </c>
      <c r="D9" s="198">
        <f>'IRI FR VT'!C27</f>
        <v>570585.35423793236</v>
      </c>
      <c r="E9" s="208">
        <v>451965</v>
      </c>
      <c r="F9" s="172">
        <f>'IRI FR VT'!C26-'IRI FR VT'!C25</f>
        <v>444588.36641581141</v>
      </c>
      <c r="G9" s="172">
        <f>'COUT PAR IP DES OUTILS'!C26</f>
        <v>125996.98782212085</v>
      </c>
      <c r="H9" s="182">
        <f>E9-F9-G9</f>
        <v>-118620.35423793226</v>
      </c>
      <c r="I9" s="177"/>
      <c r="J9" s="14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1:1007" ht="30" x14ac:dyDescent="0.25">
      <c r="A10" s="192" t="s">
        <v>403</v>
      </c>
      <c r="B10" s="171" t="s">
        <v>417</v>
      </c>
      <c r="C10" s="174" t="s">
        <v>355</v>
      </c>
      <c r="D10" s="198">
        <v>36345</v>
      </c>
      <c r="E10" s="208">
        <v>26453.503124287348</v>
      </c>
      <c r="F10" s="172">
        <f t="shared" ref="F10:F15" si="0">D10-G10</f>
        <v>27091.432892436336</v>
      </c>
      <c r="G10" s="172">
        <f>'COUT PAR IP DES OUTILS'!D26</f>
        <v>9253.5671075636637</v>
      </c>
      <c r="H10" s="182">
        <f>E10-F10-G10</f>
        <v>-9891.4968757126517</v>
      </c>
      <c r="I10" s="177"/>
      <c r="J10" s="14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1:1007" ht="30" x14ac:dyDescent="0.25">
      <c r="A11" s="192" t="s">
        <v>403</v>
      </c>
      <c r="B11" s="171" t="s">
        <v>417</v>
      </c>
      <c r="C11" s="174" t="s">
        <v>356</v>
      </c>
      <c r="D11" s="198">
        <v>100000</v>
      </c>
      <c r="E11" s="208">
        <v>50000</v>
      </c>
      <c r="F11" s="172">
        <f t="shared" si="0"/>
        <v>50000</v>
      </c>
      <c r="G11" s="172">
        <f>'COUT PAR IP DES OUTILS'!I26</f>
        <v>50000</v>
      </c>
      <c r="H11" s="182" t="e">
        <f>#REF!-F11-G11</f>
        <v>#REF!</v>
      </c>
      <c r="I11" s="177"/>
      <c r="J11" s="155">
        <f>F11</f>
        <v>50000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</row>
    <row r="12" spans="1:1007" x14ac:dyDescent="0.25">
      <c r="A12" s="192" t="s">
        <v>405</v>
      </c>
      <c r="B12" s="61" t="s">
        <v>407</v>
      </c>
      <c r="C12" s="174" t="s">
        <v>418</v>
      </c>
      <c r="D12" s="198">
        <v>35000</v>
      </c>
      <c r="E12" s="218">
        <v>0</v>
      </c>
      <c r="F12" s="172">
        <f t="shared" si="0"/>
        <v>35000</v>
      </c>
      <c r="G12" s="172">
        <v>0</v>
      </c>
      <c r="H12" s="182">
        <f>E13-F12-G12</f>
        <v>5000</v>
      </c>
      <c r="I12" s="177"/>
      <c r="J12" s="155">
        <f>D12</f>
        <v>35000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</row>
    <row r="13" spans="1:1007" s="25" customFormat="1" x14ac:dyDescent="0.25">
      <c r="A13" s="192"/>
      <c r="B13" s="61"/>
      <c r="C13" s="174" t="s">
        <v>430</v>
      </c>
      <c r="D13" s="198">
        <v>0</v>
      </c>
      <c r="E13" s="208">
        <v>40000</v>
      </c>
      <c r="F13" s="172">
        <f t="shared" si="0"/>
        <v>0</v>
      </c>
      <c r="G13" s="172">
        <v>0</v>
      </c>
      <c r="H13" s="182"/>
      <c r="I13" s="177"/>
      <c r="J13" s="155"/>
    </row>
    <row r="14" spans="1:1007" x14ac:dyDescent="0.25">
      <c r="A14" s="192" t="s">
        <v>403</v>
      </c>
      <c r="B14" s="171" t="s">
        <v>417</v>
      </c>
      <c r="C14" s="174" t="s">
        <v>8</v>
      </c>
      <c r="D14" s="198">
        <v>207706</v>
      </c>
      <c r="E14" s="208">
        <v>104194</v>
      </c>
      <c r="F14" s="172">
        <f t="shared" si="0"/>
        <v>105859.7746104143</v>
      </c>
      <c r="G14" s="154">
        <f>'COUT PAR IP DES OUTILS'!E26</f>
        <v>101846.2253895857</v>
      </c>
      <c r="H14" s="182">
        <f t="shared" ref="H14" si="1">E14-F14-G14</f>
        <v>-103512</v>
      </c>
      <c r="I14" s="177"/>
      <c r="J14" s="15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07" s="25" customFormat="1" x14ac:dyDescent="0.25">
      <c r="A15" s="192"/>
      <c r="B15" s="171" t="s">
        <v>432</v>
      </c>
      <c r="C15" s="174" t="s">
        <v>431</v>
      </c>
      <c r="D15" s="198">
        <v>40000</v>
      </c>
      <c r="E15" s="208">
        <v>0</v>
      </c>
      <c r="F15" s="172">
        <f t="shared" si="0"/>
        <v>40000</v>
      </c>
      <c r="G15" s="154">
        <v>0</v>
      </c>
      <c r="H15" s="182"/>
      <c r="I15" s="177"/>
      <c r="J15" s="155">
        <v>40000</v>
      </c>
    </row>
    <row r="16" spans="1:1007" x14ac:dyDescent="0.25">
      <c r="B16" s="52"/>
      <c r="C16" s="159" t="s">
        <v>357</v>
      </c>
      <c r="D16" s="168">
        <f>SUM(D9:D15)</f>
        <v>989636.35423793236</v>
      </c>
      <c r="E16" s="209">
        <f>SUM(E9:E15)</f>
        <v>672612.50312428735</v>
      </c>
      <c r="F16" s="168">
        <f>SUM(F9:F15)</f>
        <v>702539.57391866203</v>
      </c>
      <c r="G16" s="168">
        <f>SUM(G9:G15)</f>
        <v>287096.78031927021</v>
      </c>
      <c r="H16" s="168" t="e">
        <f>SUM(H9:H14)</f>
        <v>#REF!</v>
      </c>
      <c r="I16" s="168">
        <f>SUM(I9:I14)</f>
        <v>0</v>
      </c>
      <c r="J16" s="168">
        <f>SUM(J9:J15)</f>
        <v>125000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x14ac:dyDescent="0.25">
      <c r="B17" s="161"/>
      <c r="C17" s="162"/>
      <c r="D17" s="199"/>
      <c r="E17" s="210"/>
      <c r="F17" s="163"/>
      <c r="G17" s="179"/>
      <c r="H17" s="183"/>
      <c r="I17" s="177"/>
      <c r="J17" s="1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</row>
    <row r="18" spans="1:1007" s="10" customFormat="1" ht="45" x14ac:dyDescent="0.25">
      <c r="B18" s="167" t="s">
        <v>455</v>
      </c>
      <c r="C18" s="159" t="s">
        <v>358</v>
      </c>
      <c r="D18" s="143" t="s">
        <v>2</v>
      </c>
      <c r="E18" s="211" t="s">
        <v>2</v>
      </c>
      <c r="F18" s="143" t="s">
        <v>422</v>
      </c>
      <c r="G18" s="143" t="s">
        <v>423</v>
      </c>
      <c r="H18" s="181"/>
      <c r="I18" s="18"/>
      <c r="J18" s="143" t="s">
        <v>422</v>
      </c>
      <c r="K18" s="13"/>
      <c r="L18" s="14"/>
      <c r="N18" s="11"/>
      <c r="O18" s="15"/>
    </row>
    <row r="19" spans="1:1007" x14ac:dyDescent="0.25">
      <c r="A19" s="192" t="s">
        <v>405</v>
      </c>
      <c r="B19" s="158" t="s">
        <v>373</v>
      </c>
      <c r="C19" s="173" t="s">
        <v>359</v>
      </c>
      <c r="D19" s="200">
        <f>17033</f>
        <v>17033</v>
      </c>
      <c r="E19" s="212">
        <f>F19+G19</f>
        <v>17033</v>
      </c>
      <c r="F19" s="154">
        <f>D19</f>
        <v>17033</v>
      </c>
      <c r="G19" s="164">
        <v>0</v>
      </c>
      <c r="H19" s="182">
        <f t="shared" ref="H19:H20" si="2">E19-F19-G19</f>
        <v>0</v>
      </c>
      <c r="I19" s="188"/>
      <c r="J19" s="156">
        <f>F19</f>
        <v>17033</v>
      </c>
      <c r="K19" s="13"/>
      <c r="L19" s="14"/>
      <c r="M19" s="1"/>
      <c r="N19" s="11"/>
      <c r="O19" s="15"/>
      <c r="P19" s="1"/>
      <c r="Q19" s="1"/>
      <c r="ALR19"/>
      <c r="ALS19"/>
    </row>
    <row r="20" spans="1:1007" x14ac:dyDescent="0.25">
      <c r="A20" s="192" t="s">
        <v>403</v>
      </c>
      <c r="B20" s="144" t="s">
        <v>361</v>
      </c>
      <c r="C20" s="173" t="s">
        <v>360</v>
      </c>
      <c r="D20" s="200">
        <v>113100</v>
      </c>
      <c r="E20" s="212">
        <v>109800</v>
      </c>
      <c r="F20" s="154">
        <f>D20</f>
        <v>113100</v>
      </c>
      <c r="G20" s="165">
        <f>'COUT PAR IP DES OUTILS'!AC26</f>
        <v>0</v>
      </c>
      <c r="H20" s="182">
        <f t="shared" si="2"/>
        <v>-3300</v>
      </c>
      <c r="I20" s="189"/>
      <c r="J20" s="15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</row>
    <row r="21" spans="1:1007" x14ac:dyDescent="0.25">
      <c r="A21" s="192" t="s">
        <v>403</v>
      </c>
      <c r="B21" s="713" t="s">
        <v>417</v>
      </c>
      <c r="C21" s="173" t="s">
        <v>362</v>
      </c>
      <c r="D21" s="200">
        <v>140296</v>
      </c>
      <c r="E21" s="212">
        <v>89823</v>
      </c>
      <c r="F21" s="154">
        <f>D21-G21</f>
        <v>91287.628430254656</v>
      </c>
      <c r="G21" s="165">
        <f>'COUT PAR IP DES OUTILS'!M26</f>
        <v>49008.371569745344</v>
      </c>
      <c r="H21" s="182">
        <f t="shared" ref="H21:H26" si="3">E21-F21-G21</f>
        <v>-50473</v>
      </c>
      <c r="I21" s="190"/>
      <c r="J21" s="219"/>
      <c r="M21" s="7"/>
      <c r="N21" s="1"/>
      <c r="P21" s="1"/>
      <c r="Q21" s="1"/>
      <c r="ALP21"/>
      <c r="ALQ21"/>
      <c r="ALR21"/>
      <c r="ALS21"/>
    </row>
    <row r="22" spans="1:1007" x14ac:dyDescent="0.25">
      <c r="A22" s="192" t="s">
        <v>403</v>
      </c>
      <c r="B22" s="713"/>
      <c r="C22" s="173" t="s">
        <v>363</v>
      </c>
      <c r="D22" s="200">
        <v>90988</v>
      </c>
      <c r="E22" s="212">
        <v>53696</v>
      </c>
      <c r="F22" s="154">
        <f>D22-G22</f>
        <v>54566.35043709616</v>
      </c>
      <c r="G22" s="165">
        <f>'COUT PAR IP DES OUTILS'!N26</f>
        <v>36421.64956290384</v>
      </c>
      <c r="H22" s="182">
        <f t="shared" si="3"/>
        <v>-37292</v>
      </c>
      <c r="I22" s="191"/>
      <c r="J22" s="15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x14ac:dyDescent="0.25">
      <c r="A23" s="192" t="s">
        <v>403</v>
      </c>
      <c r="B23" s="171" t="s">
        <v>417</v>
      </c>
      <c r="C23" s="173" t="s">
        <v>366</v>
      </c>
      <c r="D23" s="200">
        <v>43647</v>
      </c>
      <c r="E23" s="212">
        <v>25758</v>
      </c>
      <c r="F23" s="154">
        <f>D23-G23</f>
        <v>26278.083614548181</v>
      </c>
      <c r="G23" s="165">
        <f>'COUT PAR IP DES OUTILS'!Q26</f>
        <v>17368.916385451819</v>
      </c>
      <c r="H23" s="182">
        <f t="shared" si="3"/>
        <v>-17889</v>
      </c>
      <c r="I23" s="191"/>
      <c r="J23" s="15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1:1007" s="25" customFormat="1" x14ac:dyDescent="0.25">
      <c r="A24" s="192" t="s">
        <v>403</v>
      </c>
      <c r="B24" s="171" t="s">
        <v>417</v>
      </c>
      <c r="C24" s="173" t="s">
        <v>408</v>
      </c>
      <c r="D24" s="200">
        <v>56485</v>
      </c>
      <c r="E24" s="212">
        <v>33334</v>
      </c>
      <c r="F24" s="154">
        <f>D24-G24</f>
        <v>33874.57630296213</v>
      </c>
      <c r="G24" s="165">
        <f>'COUT PAR IP DES OUTILS'!P26</f>
        <v>22610.423697037866</v>
      </c>
      <c r="H24" s="182">
        <f t="shared" si="3"/>
        <v>-23150.999999999996</v>
      </c>
      <c r="I24" s="191"/>
      <c r="J24" s="156"/>
    </row>
    <row r="25" spans="1:1007" x14ac:dyDescent="0.25">
      <c r="A25" s="192" t="s">
        <v>403</v>
      </c>
      <c r="B25" s="61" t="s">
        <v>371</v>
      </c>
      <c r="C25" s="173" t="s">
        <v>370</v>
      </c>
      <c r="D25" s="200">
        <v>83253</v>
      </c>
      <c r="E25" s="212">
        <v>49753</v>
      </c>
      <c r="F25" s="154">
        <f>D25-G25</f>
        <v>51121.4</v>
      </c>
      <c r="G25" s="165">
        <f>'COUT PAR IP DES OUTILS'!O26</f>
        <v>32131.599999999999</v>
      </c>
      <c r="H25" s="182">
        <f t="shared" si="3"/>
        <v>-33500</v>
      </c>
      <c r="I25" s="191"/>
      <c r="J25" s="15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x14ac:dyDescent="0.25">
      <c r="A26" s="192" t="s">
        <v>405</v>
      </c>
      <c r="B26" s="19" t="s">
        <v>372</v>
      </c>
      <c r="C26" s="173" t="s">
        <v>364</v>
      </c>
      <c r="D26" s="200">
        <v>15000</v>
      </c>
      <c r="E26" s="212">
        <f t="shared" ref="E26" si="4">F26+G26</f>
        <v>15000.000000000004</v>
      </c>
      <c r="F26" s="154">
        <f>'COUT PAR IP DES OUTILS'!AA27-'COUT PAR IP DES OUTILS'!AA26</f>
        <v>15000.000000000004</v>
      </c>
      <c r="G26" s="165">
        <f>'COUT PAR IP DES OUTILS'!AA26</f>
        <v>0</v>
      </c>
      <c r="H26" s="182">
        <f t="shared" si="3"/>
        <v>0</v>
      </c>
      <c r="I26" s="188"/>
      <c r="J26" s="156">
        <f>F26</f>
        <v>15000.000000000004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x14ac:dyDescent="0.25">
      <c r="B27" s="158"/>
      <c r="C27" s="52" t="s">
        <v>365</v>
      </c>
      <c r="D27" s="160">
        <f>SUM(D19:D26)</f>
        <v>559802</v>
      </c>
      <c r="E27" s="213">
        <f>E19+E20+E21+E22+E23+E24+E25+E26</f>
        <v>394197</v>
      </c>
      <c r="F27" s="160">
        <f>SUM(F19:F26)</f>
        <v>402261.03878486116</v>
      </c>
      <c r="G27" s="160">
        <f>SUM(G19:G26)</f>
        <v>157540.96121513887</v>
      </c>
      <c r="H27" s="182"/>
      <c r="I27"/>
      <c r="J27" s="168">
        <f>SUM(J19:J26)</f>
        <v>32033.000000000004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x14ac:dyDescent="0.25">
      <c r="B28" s="176"/>
      <c r="C28" s="21"/>
      <c r="D28" s="170"/>
      <c r="E28" s="214"/>
      <c r="F28" s="170"/>
      <c r="G28" s="170"/>
      <c r="H28" s="170"/>
      <c r="I28" s="18"/>
      <c r="J28" s="14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1:1007" ht="45" x14ac:dyDescent="0.25">
      <c r="B29" s="167" t="s">
        <v>455</v>
      </c>
      <c r="C29" s="159" t="s">
        <v>392</v>
      </c>
      <c r="D29" s="143" t="s">
        <v>2</v>
      </c>
      <c r="E29" s="211" t="s">
        <v>2</v>
      </c>
      <c r="F29" s="143" t="s">
        <v>422</v>
      </c>
      <c r="G29" s="143" t="s">
        <v>423</v>
      </c>
      <c r="H29" s="25"/>
      <c r="I29" s="18"/>
      <c r="J29" s="143" t="s">
        <v>422</v>
      </c>
      <c r="M29" s="7"/>
      <c r="N29" s="1"/>
      <c r="P29" s="1"/>
      <c r="Q29" s="1"/>
      <c r="ALP29"/>
      <c r="ALQ29"/>
      <c r="ALR29"/>
      <c r="ALS29"/>
    </row>
    <row r="30" spans="1:1007" hidden="1" x14ac:dyDescent="0.25">
      <c r="B30" s="144"/>
      <c r="C30" s="169"/>
      <c r="D30" s="184"/>
      <c r="E30" s="208"/>
      <c r="F30" s="184"/>
      <c r="G30" s="184"/>
      <c r="H30" s="182">
        <f t="shared" ref="H30" si="5">E33-F33-G33</f>
        <v>-482628.85111364489</v>
      </c>
      <c r="I30" s="23"/>
      <c r="J30" s="14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1:1007" s="25" customFormat="1" x14ac:dyDescent="0.25">
      <c r="A31" s="192"/>
      <c r="B31" s="178"/>
      <c r="C31" s="52" t="s">
        <v>393</v>
      </c>
      <c r="D31" s="160"/>
      <c r="E31" s="213">
        <f>E30</f>
        <v>0</v>
      </c>
      <c r="F31" s="160">
        <f>F30</f>
        <v>0</v>
      </c>
      <c r="G31" s="160">
        <f>G30</f>
        <v>0</v>
      </c>
      <c r="H31" s="182"/>
      <c r="I31" s="23"/>
      <c r="J31" s="155">
        <f>F31</f>
        <v>0</v>
      </c>
      <c r="O31" s="691"/>
    </row>
    <row r="32" spans="1:1007" s="25" customFormat="1" ht="60.75" thickBot="1" x14ac:dyDescent="0.3">
      <c r="A32" s="192"/>
      <c r="B32" s="171"/>
      <c r="C32" s="203" t="s">
        <v>419</v>
      </c>
      <c r="D32" s="198"/>
      <c r="E32" s="208"/>
      <c r="F32" s="154"/>
      <c r="G32" s="154"/>
      <c r="H32" s="182"/>
      <c r="I32" s="177"/>
      <c r="J32" s="156">
        <v>0</v>
      </c>
    </row>
    <row r="33" spans="1:14" ht="15.75" thickBot="1" x14ac:dyDescent="0.3">
      <c r="C33" s="17" t="s">
        <v>14</v>
      </c>
      <c r="D33" s="201">
        <f>D27+D16</f>
        <v>1549438.3542379322</v>
      </c>
      <c r="E33" s="215">
        <f>E16+E27</f>
        <v>1066809.5031242874</v>
      </c>
      <c r="F33" s="204">
        <f>F27+F16+F31</f>
        <v>1104800.6127035231</v>
      </c>
      <c r="G33" s="157">
        <f>G27+G16+G31</f>
        <v>444637.74153440911</v>
      </c>
      <c r="H33" s="18"/>
      <c r="I33" s="24"/>
      <c r="J33" s="168">
        <f>J27+J16+J32</f>
        <v>157033</v>
      </c>
      <c r="N33" s="9"/>
    </row>
    <row r="34" spans="1:14" x14ac:dyDescent="0.25">
      <c r="B34" s="25"/>
      <c r="C34" s="185"/>
      <c r="D34" s="186"/>
      <c r="E34" s="216"/>
      <c r="F34" s="186"/>
      <c r="G34" s="186"/>
      <c r="H34" s="23"/>
    </row>
    <row r="35" spans="1:14" x14ac:dyDescent="0.25">
      <c r="C35" s="22" t="s">
        <v>15</v>
      </c>
      <c r="D35" s="202"/>
      <c r="E35" s="217"/>
      <c r="F35" s="23"/>
      <c r="G35" s="23"/>
    </row>
    <row r="36" spans="1:14" ht="26.25" customHeight="1" x14ac:dyDescent="0.25">
      <c r="C36" s="714" t="s">
        <v>16</v>
      </c>
      <c r="D36" s="714"/>
      <c r="E36" s="714"/>
      <c r="F36" s="714"/>
      <c r="G36" s="714"/>
    </row>
    <row r="38" spans="1:14" x14ac:dyDescent="0.25">
      <c r="A38" s="192" t="s">
        <v>403</v>
      </c>
      <c r="B38" s="25" t="s">
        <v>404</v>
      </c>
    </row>
    <row r="39" spans="1:14" x14ac:dyDescent="0.25">
      <c r="A39" s="192" t="s">
        <v>405</v>
      </c>
      <c r="B39" t="s">
        <v>406</v>
      </c>
    </row>
    <row r="41" spans="1:14" x14ac:dyDescent="0.25">
      <c r="B41" s="194" t="s">
        <v>409</v>
      </c>
    </row>
    <row r="42" spans="1:14" x14ac:dyDescent="0.25">
      <c r="A42" s="25" t="s">
        <v>410</v>
      </c>
      <c r="B42" s="193">
        <v>43637</v>
      </c>
      <c r="C42" s="715" t="s">
        <v>427</v>
      </c>
      <c r="D42" s="715"/>
      <c r="E42" s="715"/>
      <c r="F42" s="715"/>
      <c r="G42" s="715"/>
    </row>
    <row r="43" spans="1:14" ht="12.75" customHeight="1" x14ac:dyDescent="0.25">
      <c r="A43" s="25" t="s">
        <v>429</v>
      </c>
      <c r="B43" s="195">
        <v>43732</v>
      </c>
      <c r="C43" s="715" t="s">
        <v>433</v>
      </c>
      <c r="D43" s="715"/>
      <c r="E43" s="715"/>
      <c r="F43" s="715"/>
    </row>
    <row r="44" spans="1:14" x14ac:dyDescent="0.25">
      <c r="A44" s="25" t="s">
        <v>429</v>
      </c>
      <c r="B44" s="193">
        <v>43739</v>
      </c>
      <c r="C44" s="711" t="s">
        <v>445</v>
      </c>
      <c r="D44" s="711"/>
      <c r="E44" s="711"/>
      <c r="F44" s="711"/>
    </row>
    <row r="45" spans="1:14" x14ac:dyDescent="0.25">
      <c r="A45" s="25" t="s">
        <v>446</v>
      </c>
      <c r="B45" s="193">
        <v>43789</v>
      </c>
      <c r="C45" s="711" t="s">
        <v>458</v>
      </c>
      <c r="D45" s="711"/>
      <c r="E45" s="711"/>
    </row>
    <row r="46" spans="1:14" x14ac:dyDescent="0.25">
      <c r="A46" s="25" t="s">
        <v>452</v>
      </c>
      <c r="B46" s="193">
        <v>43803</v>
      </c>
      <c r="C46" s="1" t="s">
        <v>453</v>
      </c>
    </row>
    <row r="47" spans="1:14" x14ac:dyDescent="0.25">
      <c r="A47" s="808" t="s">
        <v>459</v>
      </c>
      <c r="B47" s="807">
        <v>44011</v>
      </c>
      <c r="C47" s="1" t="s">
        <v>457</v>
      </c>
    </row>
    <row r="48" spans="1:14" x14ac:dyDescent="0.25">
      <c r="A48" s="808"/>
      <c r="B48" s="807"/>
      <c r="C48" s="1" t="s">
        <v>460</v>
      </c>
    </row>
  </sheetData>
  <mergeCells count="11">
    <mergeCell ref="B47:B48"/>
    <mergeCell ref="A47:A48"/>
    <mergeCell ref="C45:E45"/>
    <mergeCell ref="E4:I4"/>
    <mergeCell ref="C44:F44"/>
    <mergeCell ref="B21:B22"/>
    <mergeCell ref="C36:G36"/>
    <mergeCell ref="C43:F43"/>
    <mergeCell ref="C42:G42"/>
    <mergeCell ref="C6:I6"/>
    <mergeCell ref="C7:G7"/>
  </mergeCells>
  <hyperlinks>
    <hyperlink ref="C9" location="'IRI FR VT'!A1" display="DISTRI VINS TRANQUILLES FRANCE Y COMPRIS PROXI"/>
    <hyperlink ref="C10" location="'IRI FR EFF'!A1" display="DISTRI VINS EFFERVESCENTS FRANCE Y COMPRIS PROXI"/>
    <hyperlink ref="C11" location="'PANEL CHR FRANCE'!A1" display="PANEL SUIVI DES ACHATS EN CHR"/>
    <hyperlink ref="C12" location="'DETAIL CALCUL ETUDES MUTUALISEE'!A1" display="CAVISTES RELEVE D'OFFRE"/>
    <hyperlink ref="C14" location="KANTAR!A1" display="CONSO VINS TRANQUILLES ET EFFERVESCENTS France"/>
    <hyperlink ref="C19" location="'DETAIL CALCUL ETUDES MUTUALISEE'!A1" display="MULTI PAYS GTI"/>
    <hyperlink ref="C20" location="'DETAIL CALCUL ETUDES MUTUALISEE'!A1" display="MULTI PAYS  : WINE INTELLIGENCE"/>
    <hyperlink ref="C21" location="'IRI UK'!A1" display="UK : PANEL SUIVI DES VENTES EN GD VT VE"/>
    <hyperlink ref="C22" location="'IRI ALL'!A1" display="ALL : PANEL SUIVI DES VENTES EN GD VT VE"/>
    <hyperlink ref="C23" location="GfK!A1" display="ALL : SUIVI CONSO VT VE"/>
    <hyperlink ref="C25" location="'IRI PB'!A1" display="PAYS-BAS : SUIVI VENTES EN GD VT"/>
    <hyperlink ref="C26" location="' DETAIL MONOPOLES'!A1" display="MONOPOLES : ACHAT DE DONNEES"/>
    <hyperlink ref="C24" location="GfK!A1" display="ALL : SUIVI CONSO VT VE"/>
  </hyperlinks>
  <pageMargins left="0.25" right="0.25" top="0.75" bottom="0.75" header="0.3" footer="0.3"/>
  <pageSetup paperSize="9" scale="58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46"/>
  <sheetViews>
    <sheetView workbookViewId="0">
      <selection activeCell="C34" sqref="C34"/>
    </sheetView>
  </sheetViews>
  <sheetFormatPr baseColWidth="10" defaultColWidth="9.140625" defaultRowHeight="15" x14ac:dyDescent="0.25"/>
  <cols>
    <col min="1" max="1" width="30.140625" style="334" customWidth="1"/>
    <col min="2" max="2" width="10.42578125" style="334" customWidth="1"/>
    <col min="3" max="3" width="20" style="334" customWidth="1"/>
    <col min="4" max="4" width="16.5703125" style="334" customWidth="1"/>
    <col min="5" max="5" width="11.140625" style="334" customWidth="1"/>
    <col min="6" max="7" width="9.140625" style="334"/>
    <col min="8" max="8" width="10.140625" style="334" customWidth="1"/>
    <col min="9" max="16384" width="9.140625" style="334"/>
  </cols>
  <sheetData>
    <row r="1" spans="1:7" ht="15" customHeight="1" x14ac:dyDescent="0.25">
      <c r="A1" s="751" t="s">
        <v>52</v>
      </c>
      <c r="B1" s="793" t="s">
        <v>339</v>
      </c>
      <c r="C1" s="793"/>
      <c r="D1" s="793"/>
      <c r="E1" s="510"/>
      <c r="F1" s="510"/>
      <c r="G1" s="510"/>
    </row>
    <row r="2" spans="1:7" ht="15" customHeight="1" x14ac:dyDescent="0.25">
      <c r="A2" s="751"/>
      <c r="B2" s="794">
        <v>2020</v>
      </c>
      <c r="C2" s="794"/>
      <c r="D2" s="794"/>
    </row>
    <row r="3" spans="1:7" x14ac:dyDescent="0.25">
      <c r="A3" s="751"/>
      <c r="B3" s="571" t="s">
        <v>199</v>
      </c>
      <c r="C3" s="572" t="s">
        <v>200</v>
      </c>
      <c r="D3" s="573" t="s">
        <v>201</v>
      </c>
    </row>
    <row r="4" spans="1:7" x14ac:dyDescent="0.25">
      <c r="A4" s="344" t="s">
        <v>17</v>
      </c>
      <c r="B4" s="553">
        <f t="shared" ref="B4:B25" si="0">C4+D4</f>
        <v>2853.1952083824872</v>
      </c>
      <c r="C4" s="554">
        <f>'ANNEXE 1 Grille'!$B2*($C$30-$C$25)</f>
        <v>2278.5391791792772</v>
      </c>
      <c r="D4" s="555">
        <f>IF(C4&lt;&gt;0,E$26/C$29,C4)</f>
        <v>574.65602920320975</v>
      </c>
      <c r="E4" s="339"/>
    </row>
    <row r="5" spans="1:7" x14ac:dyDescent="0.25">
      <c r="A5" s="344" t="s">
        <v>18</v>
      </c>
      <c r="B5" s="553">
        <f t="shared" si="0"/>
        <v>0</v>
      </c>
      <c r="C5" s="554"/>
      <c r="D5" s="555">
        <f t="shared" ref="D5:D23" si="1">IF(C5&lt;&gt;0,E$26/C$29,C5)</f>
        <v>0</v>
      </c>
      <c r="E5" s="339"/>
    </row>
    <row r="6" spans="1:7" x14ac:dyDescent="0.25">
      <c r="A6" s="344" t="s">
        <v>19</v>
      </c>
      <c r="B6" s="553">
        <f t="shared" si="0"/>
        <v>1239.8427495160304</v>
      </c>
      <c r="C6" s="554">
        <f>'ANNEXE 1 Grille'!$B4*($C$30-$C$25)</f>
        <v>665.18672031282074</v>
      </c>
      <c r="D6" s="555">
        <f t="shared" si="1"/>
        <v>574.65602920320975</v>
      </c>
      <c r="E6" s="339"/>
    </row>
    <row r="7" spans="1:7" x14ac:dyDescent="0.25">
      <c r="A7" s="344" t="s">
        <v>20</v>
      </c>
      <c r="B7" s="553">
        <f t="shared" si="0"/>
        <v>8769.5271808565722</v>
      </c>
      <c r="C7" s="554">
        <f>'ANNEXE 1 Grille'!$B5*($C$30-$C$25)</f>
        <v>8194.8711516533622</v>
      </c>
      <c r="D7" s="555">
        <f t="shared" si="1"/>
        <v>574.65602920320975</v>
      </c>
      <c r="E7" s="339"/>
    </row>
    <row r="8" spans="1:7" x14ac:dyDescent="0.25">
      <c r="A8" s="344" t="s">
        <v>21</v>
      </c>
      <c r="B8" s="553">
        <f t="shared" si="0"/>
        <v>4541.9250647032422</v>
      </c>
      <c r="C8" s="554">
        <f>'ANNEXE 1 Grille'!$B6*($C$30-$C$25)</f>
        <v>3967.2690355000323</v>
      </c>
      <c r="D8" s="555">
        <f t="shared" si="1"/>
        <v>574.65602920320975</v>
      </c>
      <c r="E8" s="339"/>
    </row>
    <row r="9" spans="1:7" x14ac:dyDescent="0.25">
      <c r="A9" s="344" t="s">
        <v>22</v>
      </c>
      <c r="B9" s="553">
        <f t="shared" si="0"/>
        <v>801.14461842365358</v>
      </c>
      <c r="C9" s="554">
        <f>'ANNEXE 1 Grille'!$B7*($C$30-$C$25)</f>
        <v>226.48858922044388</v>
      </c>
      <c r="D9" s="555">
        <f t="shared" si="1"/>
        <v>574.65602920320975</v>
      </c>
      <c r="E9" s="339"/>
    </row>
    <row r="10" spans="1:7" x14ac:dyDescent="0.25">
      <c r="A10" s="344" t="s">
        <v>23</v>
      </c>
      <c r="B10" s="553">
        <f t="shared" si="0"/>
        <v>0</v>
      </c>
      <c r="C10" s="554"/>
      <c r="D10" s="555">
        <f t="shared" si="1"/>
        <v>0</v>
      </c>
      <c r="E10" s="339"/>
    </row>
    <row r="11" spans="1:7" x14ac:dyDescent="0.25">
      <c r="A11" s="344" t="s">
        <v>24</v>
      </c>
      <c r="B11" s="553">
        <f t="shared" si="0"/>
        <v>0</v>
      </c>
      <c r="C11" s="554"/>
      <c r="D11" s="555">
        <f t="shared" si="1"/>
        <v>0</v>
      </c>
      <c r="E11" s="339"/>
    </row>
    <row r="12" spans="1:7" x14ac:dyDescent="0.25">
      <c r="A12" s="344" t="s">
        <v>25</v>
      </c>
      <c r="B12" s="553">
        <f t="shared" si="0"/>
        <v>8317.4240480182089</v>
      </c>
      <c r="C12" s="554">
        <f>'ANNEXE 1 Grille'!$B10*($C$30-$C$25)</f>
        <v>7742.7680188149998</v>
      </c>
      <c r="D12" s="555">
        <f t="shared" si="1"/>
        <v>574.65602920320975</v>
      </c>
      <c r="E12" s="339"/>
    </row>
    <row r="13" spans="1:7" x14ac:dyDescent="0.25">
      <c r="A13" s="344" t="s">
        <v>26</v>
      </c>
      <c r="B13" s="553">
        <f t="shared" si="0"/>
        <v>4628.6548117503798</v>
      </c>
      <c r="C13" s="554">
        <f>'ANNEXE 1 Grille'!$B11*($C$30-$C$25)</f>
        <v>4053.9987825471699</v>
      </c>
      <c r="D13" s="555">
        <f t="shared" si="1"/>
        <v>574.65602920320975</v>
      </c>
      <c r="E13" s="339"/>
    </row>
    <row r="14" spans="1:7" x14ac:dyDescent="0.25">
      <c r="A14" s="344" t="s">
        <v>27</v>
      </c>
      <c r="B14" s="553">
        <f t="shared" si="0"/>
        <v>4090.2438263828117</v>
      </c>
      <c r="C14" s="554">
        <f>'ANNEXE 1 Grille'!$B12*($C$30-$C$25)</f>
        <v>3515.5877971796021</v>
      </c>
      <c r="D14" s="555">
        <f t="shared" si="1"/>
        <v>574.65602920320975</v>
      </c>
      <c r="E14" s="339"/>
    </row>
    <row r="15" spans="1:7" x14ac:dyDescent="0.25">
      <c r="A15" s="344" t="s">
        <v>28</v>
      </c>
      <c r="B15" s="553">
        <f t="shared" si="0"/>
        <v>0</v>
      </c>
      <c r="C15" s="554"/>
      <c r="D15" s="555">
        <f t="shared" si="1"/>
        <v>0</v>
      </c>
      <c r="E15" s="339"/>
    </row>
    <row r="16" spans="1:7" x14ac:dyDescent="0.25">
      <c r="A16" s="344" t="s">
        <v>29</v>
      </c>
      <c r="B16" s="553">
        <f t="shared" si="0"/>
        <v>2640.026660287519</v>
      </c>
      <c r="C16" s="554">
        <f>'ANNEXE 1 Grille'!$B14*($C$30-$C$25)</f>
        <v>2065.370631084309</v>
      </c>
      <c r="D16" s="555">
        <f t="shared" si="1"/>
        <v>574.65602920320975</v>
      </c>
      <c r="E16" s="339"/>
    </row>
    <row r="17" spans="1:8" x14ac:dyDescent="0.25">
      <c r="A17" s="344" t="s">
        <v>30</v>
      </c>
      <c r="B17" s="553">
        <f t="shared" si="0"/>
        <v>5005.6498412477386</v>
      </c>
      <c r="C17" s="554">
        <f>'ANNEXE 1 Grille'!$B15*($C$30-$C$25)</f>
        <v>4430.9938120445286</v>
      </c>
      <c r="D17" s="555">
        <f t="shared" si="1"/>
        <v>574.65602920320975</v>
      </c>
      <c r="E17" s="339"/>
    </row>
    <row r="18" spans="1:8" x14ac:dyDescent="0.25">
      <c r="A18" s="344" t="s">
        <v>31</v>
      </c>
      <c r="B18" s="553">
        <f t="shared" si="0"/>
        <v>1493.8066096749008</v>
      </c>
      <c r="C18" s="554">
        <f>'ANNEXE 1 Grille'!$B16*($C$30-$C$25)</f>
        <v>919.15058047169089</v>
      </c>
      <c r="D18" s="555">
        <f t="shared" si="1"/>
        <v>574.65602920320975</v>
      </c>
      <c r="E18" s="339"/>
    </row>
    <row r="19" spans="1:8" x14ac:dyDescent="0.25">
      <c r="A19" s="344" t="s">
        <v>32</v>
      </c>
      <c r="B19" s="553">
        <f t="shared" si="0"/>
        <v>2208.1180075059269</v>
      </c>
      <c r="C19" s="554">
        <f>'ANNEXE 1 Grille'!$B17*($C$30-$C$25)</f>
        <v>1633.4619783027172</v>
      </c>
      <c r="D19" s="555">
        <f t="shared" si="1"/>
        <v>574.65602920320975</v>
      </c>
      <c r="E19" s="339"/>
    </row>
    <row r="20" spans="1:8" x14ac:dyDescent="0.25">
      <c r="A20" s="344" t="s">
        <v>33</v>
      </c>
      <c r="B20" s="553">
        <f t="shared" si="0"/>
        <v>1594.9080387978788</v>
      </c>
      <c r="C20" s="554">
        <f>'ANNEXE 1 Grille'!$B18*($C$30-$C$25)</f>
        <v>1020.2520095946692</v>
      </c>
      <c r="D20" s="555">
        <f t="shared" si="1"/>
        <v>574.65602920320975</v>
      </c>
      <c r="E20" s="339"/>
    </row>
    <row r="21" spans="1:8" x14ac:dyDescent="0.25">
      <c r="A21" s="344" t="s">
        <v>34</v>
      </c>
      <c r="B21" s="553">
        <f t="shared" si="0"/>
        <v>0</v>
      </c>
      <c r="C21" s="554"/>
      <c r="D21" s="555">
        <f t="shared" si="1"/>
        <v>0</v>
      </c>
      <c r="E21" s="339"/>
    </row>
    <row r="22" spans="1:8" x14ac:dyDescent="0.25">
      <c r="A22" s="344" t="s">
        <v>35</v>
      </c>
      <c r="B22" s="553">
        <f t="shared" si="0"/>
        <v>6448.007678808407</v>
      </c>
      <c r="C22" s="554">
        <f>'ANNEXE 1 Grille'!$B20*($C$30-$C$25)</f>
        <v>5873.3516496051971</v>
      </c>
      <c r="D22" s="555">
        <f t="shared" si="1"/>
        <v>574.65602920320975</v>
      </c>
      <c r="E22" s="339"/>
    </row>
    <row r="23" spans="1:8" x14ac:dyDescent="0.25">
      <c r="A23" s="344" t="s">
        <v>36</v>
      </c>
      <c r="B23" s="553">
        <f t="shared" si="0"/>
        <v>0</v>
      </c>
      <c r="C23" s="554"/>
      <c r="D23" s="555">
        <f t="shared" si="1"/>
        <v>0</v>
      </c>
      <c r="E23" s="339"/>
    </row>
    <row r="24" spans="1:8" ht="12.75" customHeight="1" x14ac:dyDescent="0.25">
      <c r="A24" s="344" t="s">
        <v>38</v>
      </c>
      <c r="B24" s="553">
        <f t="shared" si="0"/>
        <v>0</v>
      </c>
      <c r="C24" s="554">
        <v>0</v>
      </c>
      <c r="D24" s="555"/>
      <c r="E24" s="339"/>
    </row>
    <row r="25" spans="1:8" x14ac:dyDescent="0.25">
      <c r="A25" s="344" t="s">
        <v>4</v>
      </c>
      <c r="B25" s="574">
        <f t="shared" si="0"/>
        <v>36421.64956290384</v>
      </c>
      <c r="C25" s="554">
        <f>C30*40/100</f>
        <v>36421.64956290384</v>
      </c>
      <c r="D25" s="555"/>
      <c r="E25" s="339"/>
    </row>
    <row r="26" spans="1:8" x14ac:dyDescent="0.25">
      <c r="A26" s="364" t="s">
        <v>49</v>
      </c>
      <c r="B26" s="556">
        <f>SUM(B4:B25)</f>
        <v>91054.123907259593</v>
      </c>
      <c r="C26" s="575">
        <f>SUM(C4:C25)</f>
        <v>83008.939498414664</v>
      </c>
      <c r="D26" s="557">
        <f>SUM(D4:D25)</f>
        <v>8045.1844088449388</v>
      </c>
      <c r="E26" s="463">
        <f>C30*60/100-SUM(C4:C24)</f>
        <v>8045.1844088449361</v>
      </c>
    </row>
    <row r="27" spans="1:8" ht="8.25" hidden="1" customHeight="1" x14ac:dyDescent="0.25">
      <c r="A27" s="375"/>
      <c r="B27" s="383" t="s">
        <v>50</v>
      </c>
      <c r="C27" s="375"/>
      <c r="D27" s="576"/>
      <c r="E27" s="576"/>
      <c r="F27" s="576"/>
      <c r="G27" s="576">
        <f>H27-SUM(C4:C24)</f>
        <v>5852.7100644891834</v>
      </c>
      <c r="H27" s="577">
        <f>104880/1.2*60/100</f>
        <v>52440</v>
      </c>
    </row>
    <row r="28" spans="1:8" x14ac:dyDescent="0.25">
      <c r="B28" s="545" t="s">
        <v>39</v>
      </c>
      <c r="C28" s="373"/>
    </row>
    <row r="29" spans="1:8" ht="15" customHeight="1" x14ac:dyDescent="0.25">
      <c r="A29" s="792" t="s">
        <v>254</v>
      </c>
      <c r="B29" s="792"/>
      <c r="C29" s="578">
        <f>SUBTOTAL(3,C4:C23)</f>
        <v>14</v>
      </c>
      <c r="D29" s="373"/>
    </row>
    <row r="30" spans="1:8" ht="15" customHeight="1" x14ac:dyDescent="0.25">
      <c r="A30" s="776" t="s">
        <v>441</v>
      </c>
      <c r="B30" s="776"/>
      <c r="C30" s="579">
        <f>C32*C34</f>
        <v>91054.123907259593</v>
      </c>
      <c r="D30" s="373"/>
    </row>
    <row r="31" spans="1:8" ht="15" customHeight="1" x14ac:dyDescent="0.25">
      <c r="A31" s="776" t="s">
        <v>435</v>
      </c>
      <c r="B31" s="776"/>
      <c r="C31" s="579">
        <f>C30*1.2</f>
        <v>109264.94868871151</v>
      </c>
    </row>
    <row r="32" spans="1:8" ht="15" customHeight="1" x14ac:dyDescent="0.25">
      <c r="A32" s="776" t="s">
        <v>210</v>
      </c>
      <c r="B32" s="776"/>
      <c r="C32" s="579">
        <v>87400</v>
      </c>
      <c r="E32" s="463"/>
    </row>
    <row r="33" spans="1:15" ht="15" customHeight="1" x14ac:dyDescent="0.25">
      <c r="A33" s="776" t="s">
        <v>211</v>
      </c>
      <c r="B33" s="776"/>
      <c r="C33" s="579">
        <f>C32*1.2</f>
        <v>104880</v>
      </c>
    </row>
    <row r="34" spans="1:15" ht="15" customHeight="1" x14ac:dyDescent="0.25">
      <c r="A34" s="776" t="s">
        <v>400</v>
      </c>
      <c r="B34" s="776"/>
      <c r="C34" s="541">
        <f>2741/2631</f>
        <v>1.0418091980235651</v>
      </c>
    </row>
    <row r="36" spans="1:15" x14ac:dyDescent="0.25">
      <c r="A36" s="767" t="s">
        <v>256</v>
      </c>
      <c r="B36" s="767"/>
      <c r="C36" s="767"/>
    </row>
    <row r="37" spans="1:15" x14ac:dyDescent="0.25">
      <c r="A37" s="480"/>
      <c r="B37" s="481"/>
      <c r="C37" s="484"/>
    </row>
    <row r="38" spans="1:15" x14ac:dyDescent="0.25">
      <c r="A38" s="424"/>
      <c r="B38" s="424"/>
      <c r="C38" s="388"/>
    </row>
    <row r="39" spans="1:15" x14ac:dyDescent="0.25">
      <c r="A39" s="767" t="s">
        <v>212</v>
      </c>
      <c r="B39" s="767"/>
      <c r="C39" s="767"/>
    </row>
    <row r="40" spans="1:15" x14ac:dyDescent="0.25">
      <c r="A40" s="480" t="s">
        <v>257</v>
      </c>
      <c r="B40" s="481"/>
      <c r="C40" s="484" t="s">
        <v>383</v>
      </c>
    </row>
    <row r="41" spans="1:15" x14ac:dyDescent="0.25">
      <c r="A41" s="480" t="s">
        <v>258</v>
      </c>
      <c r="B41" s="481"/>
      <c r="C41" s="484" t="s">
        <v>383</v>
      </c>
    </row>
    <row r="43" spans="1:15" x14ac:dyDescent="0.25">
      <c r="A43" s="404"/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O43" s="373"/>
    </row>
    <row r="44" spans="1:15" x14ac:dyDescent="0.25">
      <c r="A44" s="404"/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</row>
    <row r="45" spans="1:15" x14ac:dyDescent="0.25">
      <c r="A45" s="409" t="s">
        <v>270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</row>
    <row r="46" spans="1:15" x14ac:dyDescent="0.25">
      <c r="A46" s="334" t="s">
        <v>384</v>
      </c>
    </row>
  </sheetData>
  <mergeCells count="11">
    <mergeCell ref="A1:A3"/>
    <mergeCell ref="B1:D1"/>
    <mergeCell ref="B2:D2"/>
    <mergeCell ref="A34:B34"/>
    <mergeCell ref="A36:C36"/>
    <mergeCell ref="A39:C39"/>
    <mergeCell ref="A29:B29"/>
    <mergeCell ref="A30:B30"/>
    <mergeCell ref="A31:B31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7"/>
  <sheetViews>
    <sheetView workbookViewId="0">
      <selection activeCell="G7" sqref="G7"/>
    </sheetView>
  </sheetViews>
  <sheetFormatPr baseColWidth="10" defaultColWidth="9.140625" defaultRowHeight="15" x14ac:dyDescent="0.25"/>
  <cols>
    <col min="1" max="2" width="9.140625" style="205"/>
    <col min="3" max="3" width="15.42578125" style="205" customWidth="1"/>
    <col min="4" max="4" width="13.85546875" style="205" customWidth="1"/>
    <col min="5" max="7" width="10.85546875" style="205" bestFit="1" customWidth="1"/>
    <col min="8" max="8" width="11.85546875" style="205" bestFit="1" customWidth="1"/>
    <col min="9" max="9" width="10.85546875" style="205" bestFit="1" customWidth="1"/>
    <col min="10" max="10" width="10.140625" style="205" bestFit="1" customWidth="1"/>
    <col min="11" max="11" width="18.5703125" style="205" bestFit="1" customWidth="1"/>
    <col min="12" max="12" width="12.5703125" style="205" bestFit="1" customWidth="1"/>
    <col min="13" max="13" width="6.28515625" style="205" bestFit="1" customWidth="1"/>
    <col min="14" max="14" width="7.85546875" style="205" bestFit="1" customWidth="1"/>
    <col min="15" max="15" width="11.85546875" style="205" bestFit="1" customWidth="1"/>
    <col min="16" max="16384" width="9.140625" style="205"/>
  </cols>
  <sheetData>
    <row r="1" spans="1:10" s="334" customFormat="1" ht="15" customHeight="1" x14ac:dyDescent="0.25">
      <c r="A1" s="751" t="s">
        <v>52</v>
      </c>
      <c r="B1" s="773" t="s">
        <v>340</v>
      </c>
      <c r="C1" s="773"/>
      <c r="D1" s="773"/>
      <c r="E1" s="600"/>
      <c r="F1" s="751" t="s">
        <v>52</v>
      </c>
      <c r="G1" s="795" t="s">
        <v>341</v>
      </c>
      <c r="H1" s="795"/>
      <c r="I1" s="795"/>
    </row>
    <row r="2" spans="1:10" s="334" customFormat="1" ht="15" customHeight="1" x14ac:dyDescent="0.25">
      <c r="A2" s="751"/>
      <c r="B2" s="774" t="s">
        <v>438</v>
      </c>
      <c r="C2" s="774"/>
      <c r="D2" s="774"/>
      <c r="E2" s="601"/>
      <c r="F2" s="751"/>
      <c r="G2" s="794">
        <v>2020</v>
      </c>
      <c r="H2" s="794"/>
      <c r="I2" s="794"/>
    </row>
    <row r="3" spans="1:10" s="334" customFormat="1" ht="60" x14ac:dyDescent="0.25">
      <c r="A3" s="751"/>
      <c r="B3" s="458" t="s">
        <v>158</v>
      </c>
      <c r="C3" s="459" t="s">
        <v>205</v>
      </c>
      <c r="D3" s="459" t="s">
        <v>206</v>
      </c>
      <c r="E3" s="601"/>
      <c r="F3" s="751"/>
      <c r="G3" s="571" t="s">
        <v>199</v>
      </c>
      <c r="H3" s="572" t="s">
        <v>200</v>
      </c>
      <c r="I3" s="573" t="s">
        <v>201</v>
      </c>
    </row>
    <row r="4" spans="1:10" s="334" customFormat="1" x14ac:dyDescent="0.25">
      <c r="A4" s="344" t="s">
        <v>17</v>
      </c>
      <c r="B4" s="349">
        <f t="shared" ref="B4:B26" si="0">C4+D4</f>
        <v>3171.1327081278819</v>
      </c>
      <c r="C4" s="346">
        <f t="shared" ref="C4:C25" si="1">G4</f>
        <v>3171.1327081278819</v>
      </c>
      <c r="D4" s="347">
        <f>I45</f>
        <v>0</v>
      </c>
      <c r="E4" s="602"/>
      <c r="F4" s="344" t="s">
        <v>17</v>
      </c>
      <c r="G4" s="553">
        <f t="shared" ref="G4:G24" si="2">H4+I4</f>
        <v>3171.1327081278819</v>
      </c>
      <c r="H4" s="554">
        <f>'ANNEXE 1 Grille'!$B2*($I$26-$H$25-$H$24)</f>
        <v>2068.5817930541189</v>
      </c>
      <c r="I4" s="555">
        <f>IF(H4&lt;&gt;0,H$27/F$30,H4)</f>
        <v>1102.550915073763</v>
      </c>
      <c r="J4" s="335"/>
    </row>
    <row r="5" spans="1:10" s="334" customFormat="1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v>0</v>
      </c>
      <c r="E5" s="344"/>
      <c r="F5" s="344" t="s">
        <v>18</v>
      </c>
      <c r="G5" s="553">
        <f t="shared" si="2"/>
        <v>0</v>
      </c>
      <c r="H5" s="554"/>
      <c r="I5" s="555">
        <f t="shared" ref="I5:I23" si="3">IF(H5&lt;&gt;0,H$27/F$30,H5)</f>
        <v>0</v>
      </c>
      <c r="J5" s="335"/>
    </row>
    <row r="6" spans="1:10" s="334" customFormat="1" x14ac:dyDescent="0.25">
      <c r="A6" s="344" t="s">
        <v>19</v>
      </c>
      <c r="B6" s="349">
        <f t="shared" si="0"/>
        <v>1706.443598242859</v>
      </c>
      <c r="C6" s="346">
        <f t="shared" si="1"/>
        <v>1706.443598242859</v>
      </c>
      <c r="D6" s="347">
        <f>N42</f>
        <v>0</v>
      </c>
      <c r="E6" s="344"/>
      <c r="F6" s="344" t="s">
        <v>19</v>
      </c>
      <c r="G6" s="553">
        <f t="shared" si="2"/>
        <v>1706.443598242859</v>
      </c>
      <c r="H6" s="554">
        <f>'ANNEXE 1 Grille'!$B4*($I$26-$H$25-$H$24)</f>
        <v>603.89268316909602</v>
      </c>
      <c r="I6" s="555">
        <f t="shared" si="3"/>
        <v>1102.550915073763</v>
      </c>
      <c r="J6" s="335"/>
    </row>
    <row r="7" spans="1:10" s="334" customFormat="1" x14ac:dyDescent="0.25">
      <c r="A7" s="344" t="s">
        <v>20</v>
      </c>
      <c r="B7" s="349">
        <f t="shared" si="0"/>
        <v>8542.300652816064</v>
      </c>
      <c r="C7" s="346">
        <f t="shared" si="1"/>
        <v>8542.300652816064</v>
      </c>
      <c r="D7" s="347">
        <f>E42</f>
        <v>0</v>
      </c>
      <c r="E7" s="344"/>
      <c r="F7" s="344" t="s">
        <v>20</v>
      </c>
      <c r="G7" s="553">
        <f t="shared" si="2"/>
        <v>8542.300652816064</v>
      </c>
      <c r="H7" s="554">
        <f>'ANNEXE 1 Grille'!$B5*($I$26-$H$25-$H$24)</f>
        <v>7439.7497377423006</v>
      </c>
      <c r="I7" s="555">
        <f t="shared" si="3"/>
        <v>1102.550915073763</v>
      </c>
      <c r="J7" s="335"/>
    </row>
    <row r="8" spans="1:10" s="334" customFormat="1" x14ac:dyDescent="0.25">
      <c r="A8" s="344" t="s">
        <v>21</v>
      </c>
      <c r="B8" s="349">
        <f t="shared" si="0"/>
        <v>4704.2535190810995</v>
      </c>
      <c r="C8" s="346">
        <f t="shared" si="1"/>
        <v>4704.2535190810995</v>
      </c>
      <c r="D8" s="347">
        <f>G42</f>
        <v>0</v>
      </c>
      <c r="E8" s="344"/>
      <c r="F8" s="344" t="s">
        <v>21</v>
      </c>
      <c r="G8" s="553">
        <f t="shared" si="2"/>
        <v>4704.2535190810995</v>
      </c>
      <c r="H8" s="554">
        <f>'ANNEXE 1 Grille'!$B6*($I$26-$H$25-$H$24)</f>
        <v>3601.7026040073365</v>
      </c>
      <c r="I8" s="555">
        <f t="shared" si="3"/>
        <v>1102.550915073763</v>
      </c>
      <c r="J8" s="335"/>
    </row>
    <row r="9" spans="1:10" s="334" customFormat="1" x14ac:dyDescent="0.25">
      <c r="A9" s="344" t="s">
        <v>22</v>
      </c>
      <c r="B9" s="349">
        <f t="shared" si="0"/>
        <v>1308.1695747294989</v>
      </c>
      <c r="C9" s="346">
        <f t="shared" si="1"/>
        <v>1308.1695747294989</v>
      </c>
      <c r="D9" s="347">
        <f>0</f>
        <v>0</v>
      </c>
      <c r="E9" s="344"/>
      <c r="F9" s="344" t="s">
        <v>22</v>
      </c>
      <c r="G9" s="553">
        <f t="shared" si="2"/>
        <v>1308.1695747294989</v>
      </c>
      <c r="H9" s="554">
        <f>'ANNEXE 1 Grille'!$B7*($I$26-$H$25-$H$24)</f>
        <v>205.61865965573588</v>
      </c>
      <c r="I9" s="555">
        <f t="shared" si="3"/>
        <v>1102.550915073763</v>
      </c>
      <c r="J9" s="335"/>
    </row>
    <row r="10" spans="1:10" s="334" customFormat="1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v>0</v>
      </c>
      <c r="E10" s="344"/>
      <c r="F10" s="344" t="s">
        <v>23</v>
      </c>
      <c r="G10" s="553">
        <f t="shared" si="2"/>
        <v>0</v>
      </c>
      <c r="H10" s="554"/>
      <c r="I10" s="555">
        <f t="shared" si="3"/>
        <v>0</v>
      </c>
      <c r="J10" s="335"/>
    </row>
    <row r="11" spans="1:10" s="334" customFormat="1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v>0</v>
      </c>
      <c r="E11" s="344"/>
      <c r="F11" s="344" t="s">
        <v>24</v>
      </c>
      <c r="G11" s="553">
        <f t="shared" si="2"/>
        <v>0</v>
      </c>
      <c r="H11" s="554"/>
      <c r="I11" s="555">
        <f t="shared" si="3"/>
        <v>0</v>
      </c>
      <c r="J11" s="335"/>
    </row>
    <row r="12" spans="1:10" s="334" customFormat="1" x14ac:dyDescent="0.25">
      <c r="A12" s="344" t="s">
        <v>25</v>
      </c>
      <c r="B12" s="349">
        <f t="shared" si="0"/>
        <v>0</v>
      </c>
      <c r="C12" s="346">
        <f t="shared" si="1"/>
        <v>0</v>
      </c>
      <c r="D12" s="347">
        <f>0</f>
        <v>0</v>
      </c>
      <c r="E12" s="344"/>
      <c r="F12" s="344" t="s">
        <v>25</v>
      </c>
      <c r="G12" s="553">
        <f t="shared" si="2"/>
        <v>0</v>
      </c>
      <c r="H12" s="554"/>
      <c r="I12" s="555">
        <f t="shared" si="3"/>
        <v>0</v>
      </c>
      <c r="J12" s="335"/>
    </row>
    <row r="13" spans="1:10" s="334" customFormat="1" x14ac:dyDescent="0.25">
      <c r="A13" s="344" t="s">
        <v>26</v>
      </c>
      <c r="B13" s="349">
        <f t="shared" si="0"/>
        <v>4782.9915005462772</v>
      </c>
      <c r="C13" s="346">
        <f t="shared" si="1"/>
        <v>4782.9915005462772</v>
      </c>
      <c r="D13" s="347">
        <f>F42</f>
        <v>0</v>
      </c>
      <c r="E13" s="344"/>
      <c r="F13" s="344" t="s">
        <v>26</v>
      </c>
      <c r="G13" s="553">
        <f t="shared" si="2"/>
        <v>4782.9915005462772</v>
      </c>
      <c r="H13" s="554">
        <f>'ANNEXE 1 Grille'!$B11*($I$26-$H$25-$H$24)</f>
        <v>3680.4405854725137</v>
      </c>
      <c r="I13" s="555">
        <f t="shared" si="3"/>
        <v>1102.550915073763</v>
      </c>
      <c r="J13" s="335"/>
    </row>
    <row r="14" spans="1:10" s="334" customFormat="1" x14ac:dyDescent="0.25">
      <c r="A14" s="344" t="s">
        <v>27</v>
      </c>
      <c r="B14" s="349">
        <f t="shared" si="0"/>
        <v>4294.1927246951427</v>
      </c>
      <c r="C14" s="346">
        <f t="shared" si="1"/>
        <v>4294.1927246951427</v>
      </c>
      <c r="D14" s="347">
        <f>J45</f>
        <v>0</v>
      </c>
      <c r="E14" s="602"/>
      <c r="F14" s="344" t="s">
        <v>27</v>
      </c>
      <c r="G14" s="553">
        <f t="shared" si="2"/>
        <v>4294.1927246951427</v>
      </c>
      <c r="H14" s="554">
        <f>'ANNEXE 1 Grille'!$B12*($I$26-$H$25-$H$24)</f>
        <v>3191.6418096213797</v>
      </c>
      <c r="I14" s="555">
        <f t="shared" si="3"/>
        <v>1102.550915073763</v>
      </c>
      <c r="J14" s="335"/>
    </row>
    <row r="15" spans="1:10" s="334" customFormat="1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>0</f>
        <v>0</v>
      </c>
      <c r="E15" s="344"/>
      <c r="F15" s="344" t="s">
        <v>28</v>
      </c>
      <c r="G15" s="553">
        <f t="shared" si="2"/>
        <v>0</v>
      </c>
      <c r="H15" s="554"/>
      <c r="I15" s="555">
        <f t="shared" si="3"/>
        <v>0</v>
      </c>
      <c r="J15" s="335"/>
    </row>
    <row r="16" spans="1:10" s="334" customFormat="1" x14ac:dyDescent="0.25">
      <c r="A16" s="344" t="s">
        <v>29</v>
      </c>
      <c r="B16" s="349">
        <f t="shared" si="0"/>
        <v>2977.6067062621323</v>
      </c>
      <c r="C16" s="346">
        <f t="shared" si="1"/>
        <v>2977.6067062621323</v>
      </c>
      <c r="D16" s="347">
        <f>L45</f>
        <v>0</v>
      </c>
      <c r="E16" s="343"/>
      <c r="F16" s="344" t="s">
        <v>29</v>
      </c>
      <c r="G16" s="553">
        <f t="shared" si="2"/>
        <v>2977.6067062621323</v>
      </c>
      <c r="H16" s="554">
        <f>'ANNEXE 1 Grille'!$B14*($I$26-$H$25-$H$24)</f>
        <v>1875.0557911883691</v>
      </c>
      <c r="I16" s="555">
        <f t="shared" si="3"/>
        <v>1102.550915073763</v>
      </c>
      <c r="J16" s="335"/>
    </row>
    <row r="17" spans="1:10" s="334" customFormat="1" x14ac:dyDescent="0.25">
      <c r="A17" s="344" t="s">
        <v>30</v>
      </c>
      <c r="B17" s="349">
        <f t="shared" si="0"/>
        <v>5125.2480924961392</v>
      </c>
      <c r="C17" s="346">
        <f t="shared" si="1"/>
        <v>5125.2480924961392</v>
      </c>
      <c r="D17" s="347">
        <f>D42</f>
        <v>0</v>
      </c>
      <c r="E17" s="344"/>
      <c r="F17" s="344" t="s">
        <v>30</v>
      </c>
      <c r="G17" s="553">
        <f t="shared" si="2"/>
        <v>5125.2480924961392</v>
      </c>
      <c r="H17" s="554">
        <f>'ANNEXE 1 Grille'!$B15*($I$26-$H$25-$H$24)</f>
        <v>4022.6971774223762</v>
      </c>
      <c r="I17" s="555">
        <f t="shared" si="3"/>
        <v>1102.550915073763</v>
      </c>
      <c r="J17" s="335"/>
    </row>
    <row r="18" spans="1:10" s="334" customFormat="1" x14ac:dyDescent="0.25">
      <c r="A18" s="344" t="s">
        <v>31</v>
      </c>
      <c r="B18" s="349">
        <f t="shared" si="0"/>
        <v>1937.0058031936683</v>
      </c>
      <c r="C18" s="346">
        <f t="shared" si="1"/>
        <v>1937.0058031936683</v>
      </c>
      <c r="D18" s="347">
        <f>M42</f>
        <v>0</v>
      </c>
      <c r="E18" s="344"/>
      <c r="F18" s="344" t="s">
        <v>31</v>
      </c>
      <c r="G18" s="553">
        <f t="shared" si="2"/>
        <v>1937.0058031936683</v>
      </c>
      <c r="H18" s="554">
        <f>'ANNEXE 1 Grille'!$B16*($I$26-$H$25-$H$24)</f>
        <v>834.45488811990538</v>
      </c>
      <c r="I18" s="555">
        <f t="shared" si="3"/>
        <v>1102.550915073763</v>
      </c>
      <c r="J18" s="335"/>
    </row>
    <row r="19" spans="1:10" s="334" customFormat="1" x14ac:dyDescent="0.25">
      <c r="A19" s="344" t="s">
        <v>32</v>
      </c>
      <c r="B19" s="349">
        <f t="shared" si="0"/>
        <v>2585.4965404284476</v>
      </c>
      <c r="C19" s="346">
        <f t="shared" si="1"/>
        <v>2585.4965404284476</v>
      </c>
      <c r="D19" s="347">
        <f>K42</f>
        <v>0</v>
      </c>
      <c r="E19" s="344"/>
      <c r="F19" s="344" t="s">
        <v>32</v>
      </c>
      <c r="G19" s="553">
        <f t="shared" si="2"/>
        <v>2585.4965404284476</v>
      </c>
      <c r="H19" s="554">
        <f>'ANNEXE 1 Grille'!$B17*($I$26-$H$25-$H$24)</f>
        <v>1482.9456253546846</v>
      </c>
      <c r="I19" s="555">
        <f t="shared" si="3"/>
        <v>1102.550915073763</v>
      </c>
      <c r="J19" s="335"/>
    </row>
    <row r="20" spans="1:10" s="334" customFormat="1" x14ac:dyDescent="0.25">
      <c r="A20" s="344" t="s">
        <v>33</v>
      </c>
      <c r="B20" s="349">
        <f t="shared" si="0"/>
        <v>2028.7911793006856</v>
      </c>
      <c r="C20" s="346">
        <f t="shared" si="1"/>
        <v>2028.7911793006856</v>
      </c>
      <c r="D20" s="347">
        <f>0</f>
        <v>0</v>
      </c>
      <c r="E20" s="344"/>
      <c r="F20" s="344" t="s">
        <v>33</v>
      </c>
      <c r="G20" s="553">
        <f t="shared" si="2"/>
        <v>2028.7911793006856</v>
      </c>
      <c r="H20" s="554">
        <f>'ANNEXE 1 Grille'!$B18*($I$26-$H$25-$H$24)</f>
        <v>926.24026422692248</v>
      </c>
      <c r="I20" s="555">
        <f t="shared" si="3"/>
        <v>1102.550915073763</v>
      </c>
      <c r="J20" s="335"/>
    </row>
    <row r="21" spans="1:10" s="334" customFormat="1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>0</f>
        <v>0</v>
      </c>
      <c r="E21" s="344"/>
      <c r="F21" s="344" t="s">
        <v>34</v>
      </c>
      <c r="G21" s="553">
        <f t="shared" si="2"/>
        <v>0</v>
      </c>
      <c r="H21" s="554"/>
      <c r="I21" s="555">
        <f t="shared" si="3"/>
        <v>0</v>
      </c>
      <c r="J21" s="335"/>
    </row>
    <row r="22" spans="1:10" s="334" customFormat="1" x14ac:dyDescent="0.25">
      <c r="A22" s="344" t="s">
        <v>35</v>
      </c>
      <c r="B22" s="349">
        <f t="shared" si="0"/>
        <v>8018.2489660246056</v>
      </c>
      <c r="C22" s="346">
        <f t="shared" si="1"/>
        <v>6434.6989850287864</v>
      </c>
      <c r="D22" s="347">
        <f>H45</f>
        <v>1583.5499809958189</v>
      </c>
      <c r="E22" s="343"/>
      <c r="F22" s="344" t="s">
        <v>35</v>
      </c>
      <c r="G22" s="553">
        <f t="shared" si="2"/>
        <v>6434.6989850287864</v>
      </c>
      <c r="H22" s="554">
        <f>'ANNEXE 1 Grille'!$B20*($I$26-$H$25-$H$24)</f>
        <v>5332.1480699550229</v>
      </c>
      <c r="I22" s="555">
        <f t="shared" si="3"/>
        <v>1102.550915073763</v>
      </c>
      <c r="J22" s="335"/>
    </row>
    <row r="23" spans="1:10" s="334" customFormat="1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v>0</v>
      </c>
      <c r="E23" s="344"/>
      <c r="F23" s="344" t="s">
        <v>36</v>
      </c>
      <c r="G23" s="553">
        <f t="shared" si="2"/>
        <v>0</v>
      </c>
      <c r="H23" s="554"/>
      <c r="I23" s="555">
        <f t="shared" si="3"/>
        <v>0</v>
      </c>
      <c r="J23" s="335"/>
    </row>
    <row r="24" spans="1:10" s="334" customFormat="1" x14ac:dyDescent="0.25">
      <c r="A24" s="344" t="s">
        <v>38</v>
      </c>
      <c r="B24" s="349">
        <f t="shared" si="0"/>
        <v>0</v>
      </c>
      <c r="C24" s="346">
        <f t="shared" si="1"/>
        <v>0</v>
      </c>
      <c r="D24" s="347">
        <v>0</v>
      </c>
      <c r="E24" s="344"/>
      <c r="F24" s="344" t="s">
        <v>38</v>
      </c>
      <c r="G24" s="553">
        <f t="shared" si="2"/>
        <v>0</v>
      </c>
      <c r="H24" s="554"/>
      <c r="I24" s="555"/>
      <c r="J24" s="335"/>
    </row>
    <row r="25" spans="1:10" s="334" customFormat="1" x14ac:dyDescent="0.25">
      <c r="A25" s="344" t="s">
        <v>4</v>
      </c>
      <c r="B25" s="349">
        <f t="shared" si="0"/>
        <v>32131.599999999999</v>
      </c>
      <c r="C25" s="346">
        <f t="shared" si="1"/>
        <v>32131.599999999999</v>
      </c>
      <c r="D25" s="464">
        <v>0</v>
      </c>
      <c r="E25" s="344"/>
      <c r="F25" s="344" t="s">
        <v>4</v>
      </c>
      <c r="G25" s="553">
        <f>H25+I25</f>
        <v>32131.599999999999</v>
      </c>
      <c r="H25" s="554">
        <f>80329*40/100</f>
        <v>32131.599999999999</v>
      </c>
      <c r="I25" s="555"/>
      <c r="J25" s="335"/>
    </row>
    <row r="26" spans="1:10" s="334" customFormat="1" ht="42" customHeight="1" x14ac:dyDescent="0.25">
      <c r="A26" s="364" t="s">
        <v>49</v>
      </c>
      <c r="B26" s="466">
        <f t="shared" si="0"/>
        <v>83313.481565944487</v>
      </c>
      <c r="C26" s="368">
        <f>SUM(C4:C25)</f>
        <v>81729.931584948674</v>
      </c>
      <c r="D26" s="368">
        <f>SUM(D4:D25)</f>
        <v>1583.5499809958189</v>
      </c>
      <c r="E26" s="603"/>
      <c r="F26" s="364" t="s">
        <v>49</v>
      </c>
      <c r="G26" s="556">
        <f>SUM(G4:G25)</f>
        <v>81729.931584948674</v>
      </c>
      <c r="H26" s="575">
        <f>SUM(H4:H25)</f>
        <v>67396.769688989763</v>
      </c>
      <c r="I26" s="557">
        <f>F31</f>
        <v>81729.931584948674</v>
      </c>
    </row>
    <row r="27" spans="1:10" ht="75" hidden="1" x14ac:dyDescent="0.25">
      <c r="A27" s="254" t="s">
        <v>50</v>
      </c>
      <c r="B27" s="252">
        <f>SUM(B4:B25)</f>
        <v>83313.481565944501</v>
      </c>
      <c r="C27" s="247">
        <f>SUM(C4:C25)</f>
        <v>81729.931584948674</v>
      </c>
      <c r="D27" s="247">
        <f>SUM(D4:D25)</f>
        <v>1583.5499809958189</v>
      </c>
      <c r="E27" s="321"/>
      <c r="F27" s="254" t="s">
        <v>50</v>
      </c>
      <c r="G27" s="294"/>
      <c r="H27" s="294">
        <f>I27-SUM(H4:H24)</f>
        <v>14333.161895958918</v>
      </c>
      <c r="I27" s="295">
        <f>F31-H25</f>
        <v>49598.331584948675</v>
      </c>
    </row>
    <row r="28" spans="1:10" ht="0.75" customHeight="1" x14ac:dyDescent="0.25">
      <c r="A28" s="250"/>
      <c r="B28" s="273"/>
      <c r="C28" s="273"/>
      <c r="D28" s="273"/>
      <c r="E28" s="321"/>
      <c r="F28" s="322" t="s">
        <v>51</v>
      </c>
      <c r="G28" s="294"/>
      <c r="H28" s="323"/>
      <c r="I28" s="295">
        <f>92661.81/1.2*40/100</f>
        <v>30887.27</v>
      </c>
    </row>
    <row r="29" spans="1:10" s="334" customFormat="1" x14ac:dyDescent="0.25">
      <c r="A29" s="369" t="s">
        <v>39</v>
      </c>
      <c r="B29" s="604">
        <f>SUM(B4:B25)</f>
        <v>83313.481565944501</v>
      </c>
      <c r="C29" s="604"/>
      <c r="D29" s="604"/>
      <c r="E29" s="379"/>
      <c r="F29" s="369" t="s">
        <v>39</v>
      </c>
      <c r="G29" s="562">
        <f>SUM(G4:G25)</f>
        <v>81729.931584948674</v>
      </c>
      <c r="H29" s="446"/>
      <c r="I29" s="446"/>
    </row>
    <row r="30" spans="1:10" s="334" customFormat="1" ht="15" customHeight="1" x14ac:dyDescent="0.25">
      <c r="B30" s="373"/>
      <c r="D30" s="792" t="s">
        <v>254</v>
      </c>
      <c r="E30" s="792"/>
      <c r="F30" s="578">
        <f>SUBTOTAL(3,H4:H23)</f>
        <v>13</v>
      </c>
      <c r="G30" s="373"/>
    </row>
    <row r="31" spans="1:10" s="334" customFormat="1" ht="15" customHeight="1" x14ac:dyDescent="0.25">
      <c r="A31" s="375"/>
      <c r="B31" s="373"/>
      <c r="C31" s="373"/>
      <c r="D31" s="776" t="s">
        <v>209</v>
      </c>
      <c r="E31" s="776"/>
      <c r="F31" s="540">
        <f>F33*F35</f>
        <v>81729.931584948674</v>
      </c>
      <c r="G31" s="373"/>
    </row>
    <row r="32" spans="1:10" s="334" customFormat="1" ht="15" customHeight="1" x14ac:dyDescent="0.25">
      <c r="A32" s="375"/>
      <c r="D32" s="776" t="s">
        <v>354</v>
      </c>
      <c r="E32" s="776"/>
      <c r="F32" s="540">
        <f>F31*1.2</f>
        <v>98075.917901938403</v>
      </c>
      <c r="G32" s="588"/>
    </row>
    <row r="33" spans="1:15" s="334" customFormat="1" ht="15" customHeight="1" x14ac:dyDescent="0.25">
      <c r="A33" s="375"/>
      <c r="D33" s="776" t="s">
        <v>210</v>
      </c>
      <c r="E33" s="776"/>
      <c r="F33" s="540">
        <v>78450</v>
      </c>
    </row>
    <row r="34" spans="1:15" s="334" customFormat="1" ht="15" customHeight="1" x14ac:dyDescent="0.25">
      <c r="A34" s="375"/>
      <c r="D34" s="776" t="s">
        <v>211</v>
      </c>
      <c r="E34" s="776"/>
      <c r="F34" s="540">
        <f>F33*1.2</f>
        <v>94140</v>
      </c>
    </row>
    <row r="35" spans="1:15" s="334" customFormat="1" ht="15" customHeight="1" x14ac:dyDescent="0.25">
      <c r="A35" s="375"/>
      <c r="D35" s="776" t="s">
        <v>400</v>
      </c>
      <c r="E35" s="776"/>
      <c r="F35" s="541">
        <f>2741/2631</f>
        <v>1.0418091980235651</v>
      </c>
    </row>
    <row r="36" spans="1:15" s="334" customFormat="1" x14ac:dyDescent="0.25">
      <c r="D36" s="424"/>
      <c r="E36" s="424"/>
      <c r="F36" s="388"/>
    </row>
    <row r="37" spans="1:15" s="334" customFormat="1" x14ac:dyDescent="0.25">
      <c r="D37" s="767" t="s">
        <v>212</v>
      </c>
      <c r="E37" s="767"/>
      <c r="F37" s="767"/>
    </row>
    <row r="38" spans="1:15" s="334" customFormat="1" x14ac:dyDescent="0.25">
      <c r="D38" s="589" t="s">
        <v>257</v>
      </c>
      <c r="E38" s="590"/>
      <c r="F38" s="368">
        <f>O46</f>
        <v>1583.5499809958189</v>
      </c>
    </row>
    <row r="39" spans="1:15" s="334" customFormat="1" x14ac:dyDescent="0.25">
      <c r="D39" s="589" t="s">
        <v>258</v>
      </c>
      <c r="E39" s="590"/>
      <c r="F39" s="368">
        <f>O47</f>
        <v>0</v>
      </c>
    </row>
    <row r="43" spans="1:15" s="334" customFormat="1" x14ac:dyDescent="0.25">
      <c r="A43" s="389" t="s">
        <v>342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</row>
    <row r="44" spans="1:15" s="334" customFormat="1" ht="30" x14ac:dyDescent="0.25">
      <c r="A44" s="786">
        <v>2020</v>
      </c>
      <c r="B44" s="786"/>
      <c r="C44" s="786"/>
      <c r="D44" s="413" t="s">
        <v>30</v>
      </c>
      <c r="E44" s="413" t="s">
        <v>20</v>
      </c>
      <c r="F44" s="413" t="s">
        <v>26</v>
      </c>
      <c r="G44" s="413" t="s">
        <v>21</v>
      </c>
      <c r="H44" s="414" t="s">
        <v>35</v>
      </c>
      <c r="I44" s="413" t="s">
        <v>17</v>
      </c>
      <c r="J44" s="413" t="s">
        <v>27</v>
      </c>
      <c r="K44" s="413" t="s">
        <v>32</v>
      </c>
      <c r="L44" s="413" t="s">
        <v>29</v>
      </c>
      <c r="M44" s="413" t="s">
        <v>31</v>
      </c>
      <c r="N44" s="413" t="s">
        <v>19</v>
      </c>
      <c r="O44" s="488" t="s">
        <v>78</v>
      </c>
    </row>
    <row r="45" spans="1:15" s="334" customFormat="1" x14ac:dyDescent="0.25">
      <c r="A45" s="747" t="s">
        <v>215</v>
      </c>
      <c r="B45" s="747"/>
      <c r="C45" s="747"/>
      <c r="D45" s="400">
        <f t="shared" ref="D45:N45" si="4">SUM(D46:D47)</f>
        <v>0</v>
      </c>
      <c r="E45" s="400">
        <f t="shared" si="4"/>
        <v>0</v>
      </c>
      <c r="F45" s="400">
        <f t="shared" si="4"/>
        <v>0</v>
      </c>
      <c r="G45" s="400">
        <f t="shared" si="4"/>
        <v>0</v>
      </c>
      <c r="H45" s="400">
        <f t="shared" si="4"/>
        <v>1583.5499809958189</v>
      </c>
      <c r="I45" s="400">
        <f t="shared" si="4"/>
        <v>0</v>
      </c>
      <c r="J45" s="400">
        <f t="shared" si="4"/>
        <v>0</v>
      </c>
      <c r="K45" s="400">
        <f t="shared" si="4"/>
        <v>0</v>
      </c>
      <c r="L45" s="400">
        <f t="shared" si="4"/>
        <v>0</v>
      </c>
      <c r="M45" s="400">
        <f t="shared" si="4"/>
        <v>0</v>
      </c>
      <c r="N45" s="400">
        <f t="shared" si="4"/>
        <v>0</v>
      </c>
      <c r="O45" s="418">
        <f>SUM(D45:N45)</f>
        <v>1583.5499809958189</v>
      </c>
    </row>
    <row r="46" spans="1:15" s="334" customFormat="1" x14ac:dyDescent="0.25">
      <c r="A46" s="747" t="s">
        <v>261</v>
      </c>
      <c r="B46" s="747"/>
      <c r="C46" s="747"/>
      <c r="D46" s="586">
        <f>D53</f>
        <v>0</v>
      </c>
      <c r="E46" s="586">
        <f t="shared" ref="E46:N46" si="5">E53</f>
        <v>0</v>
      </c>
      <c r="F46" s="586">
        <f t="shared" si="5"/>
        <v>0</v>
      </c>
      <c r="G46" s="586">
        <f t="shared" si="5"/>
        <v>0</v>
      </c>
      <c r="H46" s="586">
        <f>H52</f>
        <v>1583.5499809958189</v>
      </c>
      <c r="I46" s="586">
        <f t="shared" si="5"/>
        <v>0</v>
      </c>
      <c r="J46" s="586">
        <f t="shared" si="5"/>
        <v>0</v>
      </c>
      <c r="K46" s="586">
        <f t="shared" si="5"/>
        <v>0</v>
      </c>
      <c r="L46" s="586">
        <f t="shared" si="5"/>
        <v>0</v>
      </c>
      <c r="M46" s="586">
        <f t="shared" si="5"/>
        <v>0</v>
      </c>
      <c r="N46" s="586">
        <f t="shared" si="5"/>
        <v>0</v>
      </c>
      <c r="O46" s="587">
        <f>O52</f>
        <v>1583.5499809958189</v>
      </c>
    </row>
    <row r="47" spans="1:15" s="334" customFormat="1" x14ac:dyDescent="0.25">
      <c r="A47" s="747" t="s">
        <v>262</v>
      </c>
      <c r="B47" s="747"/>
      <c r="C47" s="747"/>
      <c r="D47" s="401">
        <f t="shared" ref="D47:N47" si="6">D74</f>
        <v>0</v>
      </c>
      <c r="E47" s="401">
        <f t="shared" si="6"/>
        <v>0</v>
      </c>
      <c r="F47" s="401">
        <f t="shared" si="6"/>
        <v>0</v>
      </c>
      <c r="G47" s="401">
        <f t="shared" si="6"/>
        <v>0</v>
      </c>
      <c r="H47" s="401">
        <f t="shared" si="6"/>
        <v>0</v>
      </c>
      <c r="I47" s="401">
        <f t="shared" si="6"/>
        <v>0</v>
      </c>
      <c r="J47" s="401">
        <f t="shared" si="6"/>
        <v>0</v>
      </c>
      <c r="K47" s="401">
        <f t="shared" si="6"/>
        <v>0</v>
      </c>
      <c r="L47" s="401">
        <f t="shared" si="6"/>
        <v>0</v>
      </c>
      <c r="M47" s="401">
        <f t="shared" si="6"/>
        <v>0</v>
      </c>
      <c r="N47" s="401">
        <f t="shared" si="6"/>
        <v>0</v>
      </c>
      <c r="O47" s="418">
        <f>SUM(D47:N47)</f>
        <v>0</v>
      </c>
    </row>
    <row r="48" spans="1:15" x14ac:dyDescent="0.25">
      <c r="A48" s="258"/>
      <c r="B48" s="259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O48" s="251"/>
    </row>
    <row r="49" spans="1:15" x14ac:dyDescent="0.25">
      <c r="A49" s="258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5" s="334" customFormat="1" x14ac:dyDescent="0.25">
      <c r="A50" s="409" t="s">
        <v>270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</row>
    <row r="51" spans="1:15" s="334" customFormat="1" ht="26.25" customHeight="1" x14ac:dyDescent="0.25">
      <c r="A51" s="783" t="s">
        <v>264</v>
      </c>
      <c r="B51" s="783"/>
      <c r="C51" s="514" t="s">
        <v>271</v>
      </c>
      <c r="D51" s="413" t="s">
        <v>221</v>
      </c>
      <c r="E51" s="413" t="s">
        <v>20</v>
      </c>
      <c r="F51" s="413" t="s">
        <v>26</v>
      </c>
      <c r="G51" s="413" t="s">
        <v>21</v>
      </c>
      <c r="H51" s="414" t="s">
        <v>35</v>
      </c>
      <c r="I51" s="414" t="s">
        <v>17</v>
      </c>
      <c r="J51" s="413" t="s">
        <v>222</v>
      </c>
      <c r="K51" s="413" t="s">
        <v>32</v>
      </c>
      <c r="L51" s="413" t="s">
        <v>29</v>
      </c>
      <c r="M51" s="413" t="s">
        <v>31</v>
      </c>
      <c r="N51" s="413" t="s">
        <v>19</v>
      </c>
      <c r="O51" s="488" t="s">
        <v>78</v>
      </c>
    </row>
    <row r="52" spans="1:15" s="334" customFormat="1" ht="26.25" customHeight="1" x14ac:dyDescent="0.25">
      <c r="A52" s="515">
        <f>F35</f>
        <v>1.0418091980235651</v>
      </c>
      <c r="B52" s="516">
        <v>2020</v>
      </c>
      <c r="C52" s="580">
        <f>C54*A52</f>
        <v>395.88749524895474</v>
      </c>
      <c r="D52" s="413"/>
      <c r="E52" s="413"/>
      <c r="F52" s="413"/>
      <c r="G52" s="413"/>
      <c r="H52" s="581">
        <f>C52*H59</f>
        <v>1583.5499809958189</v>
      </c>
      <c r="I52" s="581">
        <f t="shared" ref="I52:N52" si="7">D52*I59</f>
        <v>0</v>
      </c>
      <c r="J52" s="581">
        <f t="shared" si="7"/>
        <v>0</v>
      </c>
      <c r="K52" s="581">
        <f t="shared" si="7"/>
        <v>0</v>
      </c>
      <c r="L52" s="581">
        <f t="shared" si="7"/>
        <v>0</v>
      </c>
      <c r="M52" s="581">
        <f t="shared" si="7"/>
        <v>0</v>
      </c>
      <c r="N52" s="581">
        <f t="shared" si="7"/>
        <v>0</v>
      </c>
      <c r="O52" s="579">
        <f>SUM(D52:J52)</f>
        <v>1583.5499809958189</v>
      </c>
    </row>
    <row r="53" spans="1:15" s="334" customFormat="1" x14ac:dyDescent="0.25">
      <c r="A53" s="515">
        <v>1.024</v>
      </c>
      <c r="B53" s="516">
        <v>2019</v>
      </c>
      <c r="C53" s="580">
        <f>C54*A53</f>
        <v>389.12</v>
      </c>
      <c r="D53" s="498">
        <f t="shared" ref="D53:I55" si="8">$E$63/10*D$59</f>
        <v>0</v>
      </c>
      <c r="E53" s="498">
        <f t="shared" si="8"/>
        <v>0</v>
      </c>
      <c r="F53" s="498">
        <f t="shared" si="8"/>
        <v>0</v>
      </c>
      <c r="G53" s="498">
        <f t="shared" si="8"/>
        <v>0</v>
      </c>
      <c r="H53" s="581">
        <f>C53*H59</f>
        <v>1556.48</v>
      </c>
      <c r="I53" s="498">
        <f t="shared" si="8"/>
        <v>0</v>
      </c>
      <c r="J53" s="498">
        <v>0</v>
      </c>
      <c r="K53" s="498">
        <f t="shared" ref="K53:N56" si="9">$E$63/10*K$59</f>
        <v>0</v>
      </c>
      <c r="L53" s="498">
        <f t="shared" si="9"/>
        <v>0</v>
      </c>
      <c r="M53" s="498">
        <f t="shared" si="9"/>
        <v>0</v>
      </c>
      <c r="N53" s="498">
        <f t="shared" si="9"/>
        <v>0</v>
      </c>
      <c r="O53" s="579">
        <f>SUM(D53:J53)</f>
        <v>1556.48</v>
      </c>
    </row>
    <row r="54" spans="1:15" s="334" customFormat="1" x14ac:dyDescent="0.25">
      <c r="A54" s="783">
        <v>2018</v>
      </c>
      <c r="B54" s="783"/>
      <c r="C54" s="582">
        <v>380</v>
      </c>
      <c r="D54" s="498">
        <f t="shared" si="8"/>
        <v>0</v>
      </c>
      <c r="E54" s="498">
        <f t="shared" si="8"/>
        <v>0</v>
      </c>
      <c r="F54" s="498">
        <f t="shared" si="8"/>
        <v>0</v>
      </c>
      <c r="G54" s="498">
        <f t="shared" si="8"/>
        <v>0</v>
      </c>
      <c r="H54" s="498">
        <f>C54*H59</f>
        <v>1520</v>
      </c>
      <c r="I54" s="498">
        <f t="shared" si="8"/>
        <v>0</v>
      </c>
      <c r="J54" s="498">
        <v>0</v>
      </c>
      <c r="K54" s="498">
        <f t="shared" si="9"/>
        <v>0</v>
      </c>
      <c r="L54" s="498">
        <f t="shared" si="9"/>
        <v>0</v>
      </c>
      <c r="M54" s="498">
        <f t="shared" si="9"/>
        <v>0</v>
      </c>
      <c r="N54" s="498">
        <f t="shared" si="9"/>
        <v>0</v>
      </c>
      <c r="O54" s="579">
        <f t="shared" ref="O54:O58" si="10">SUM(D54:J54)</f>
        <v>1520</v>
      </c>
    </row>
    <row r="55" spans="1:15" s="334" customFormat="1" x14ac:dyDescent="0.25">
      <c r="A55" s="783">
        <v>2017</v>
      </c>
      <c r="B55" s="783"/>
      <c r="C55" s="582"/>
      <c r="D55" s="498">
        <f t="shared" si="8"/>
        <v>0</v>
      </c>
      <c r="E55" s="498">
        <f t="shared" si="8"/>
        <v>0</v>
      </c>
      <c r="F55" s="498">
        <f t="shared" si="8"/>
        <v>0</v>
      </c>
      <c r="G55" s="498">
        <f t="shared" si="8"/>
        <v>0</v>
      </c>
      <c r="H55" s="498">
        <f t="shared" si="8"/>
        <v>3878.6297803091948</v>
      </c>
      <c r="I55" s="498">
        <f t="shared" si="8"/>
        <v>0</v>
      </c>
      <c r="J55" s="498">
        <v>0</v>
      </c>
      <c r="K55" s="498">
        <f t="shared" si="9"/>
        <v>0</v>
      </c>
      <c r="L55" s="498">
        <f t="shared" si="9"/>
        <v>0</v>
      </c>
      <c r="M55" s="498">
        <f t="shared" si="9"/>
        <v>0</v>
      </c>
      <c r="N55" s="498">
        <f t="shared" si="9"/>
        <v>0</v>
      </c>
      <c r="O55" s="579">
        <f t="shared" si="10"/>
        <v>3878.6297803091948</v>
      </c>
    </row>
    <row r="56" spans="1:15" s="334" customFormat="1" x14ac:dyDescent="0.25">
      <c r="A56" s="783">
        <v>2016</v>
      </c>
      <c r="B56" s="783"/>
      <c r="C56" s="582"/>
      <c r="D56" s="498">
        <v>0</v>
      </c>
      <c r="E56" s="498">
        <v>0</v>
      </c>
      <c r="F56" s="498">
        <v>0</v>
      </c>
      <c r="G56" s="498">
        <v>0</v>
      </c>
      <c r="H56" s="498">
        <f>D63/10*H59</f>
        <v>3809.2027600000001</v>
      </c>
      <c r="I56" s="498">
        <v>0</v>
      </c>
      <c r="J56" s="498">
        <f>D63/10*J59</f>
        <v>952.30069000000003</v>
      </c>
      <c r="K56" s="498">
        <v>0</v>
      </c>
      <c r="L56" s="498">
        <v>0</v>
      </c>
      <c r="M56" s="498">
        <f t="shared" si="9"/>
        <v>0</v>
      </c>
      <c r="N56" s="498">
        <f t="shared" si="9"/>
        <v>0</v>
      </c>
      <c r="O56" s="579">
        <f t="shared" si="10"/>
        <v>4761.5034500000002</v>
      </c>
    </row>
    <row r="57" spans="1:15" s="334" customFormat="1" x14ac:dyDescent="0.25">
      <c r="A57" s="783">
        <v>2015</v>
      </c>
      <c r="B57" s="783"/>
      <c r="C57" s="582"/>
      <c r="D57" s="498">
        <v>0</v>
      </c>
      <c r="E57" s="498">
        <v>0</v>
      </c>
      <c r="F57" s="498">
        <v>0</v>
      </c>
      <c r="G57" s="498">
        <v>0</v>
      </c>
      <c r="H57" s="498">
        <f>C63/10*H59</f>
        <v>3694.7616000000003</v>
      </c>
      <c r="I57" s="498">
        <v>0</v>
      </c>
      <c r="J57" s="498">
        <f>C63/10*J59</f>
        <v>923.69040000000007</v>
      </c>
      <c r="K57" s="498">
        <v>0</v>
      </c>
      <c r="L57" s="498">
        <v>0</v>
      </c>
      <c r="M57" s="498">
        <v>0</v>
      </c>
      <c r="N57" s="498">
        <v>0</v>
      </c>
      <c r="O57" s="579">
        <f t="shared" si="10"/>
        <v>4618.4520000000002</v>
      </c>
    </row>
    <row r="58" spans="1:15" s="334" customFormat="1" x14ac:dyDescent="0.25">
      <c r="A58" s="783">
        <v>2014</v>
      </c>
      <c r="B58" s="783"/>
      <c r="C58" s="582"/>
      <c r="D58" s="498">
        <v>0</v>
      </c>
      <c r="E58" s="498">
        <v>0</v>
      </c>
      <c r="F58" s="498">
        <v>0</v>
      </c>
      <c r="G58" s="498">
        <v>0</v>
      </c>
      <c r="H58" s="498">
        <f>B63/10*H59</f>
        <v>3709.6</v>
      </c>
      <c r="I58" s="498">
        <v>0</v>
      </c>
      <c r="J58" s="498">
        <f>D63/10*1</f>
        <v>952.30069000000003</v>
      </c>
      <c r="K58" s="498">
        <v>0</v>
      </c>
      <c r="L58" s="498">
        <v>0</v>
      </c>
      <c r="M58" s="498">
        <v>0</v>
      </c>
      <c r="N58" s="498">
        <v>0</v>
      </c>
      <c r="O58" s="579">
        <f t="shared" si="10"/>
        <v>4661.9006900000004</v>
      </c>
    </row>
    <row r="59" spans="1:15" s="334" customFormat="1" ht="15" customHeight="1" x14ac:dyDescent="0.25">
      <c r="A59" s="783" t="s">
        <v>223</v>
      </c>
      <c r="B59" s="783"/>
      <c r="C59" s="583">
        <v>0</v>
      </c>
      <c r="D59" s="584">
        <v>0</v>
      </c>
      <c r="E59" s="585">
        <v>0</v>
      </c>
      <c r="F59" s="585">
        <v>0</v>
      </c>
      <c r="G59" s="585">
        <v>0</v>
      </c>
      <c r="H59" s="585">
        <v>4</v>
      </c>
      <c r="I59" s="585">
        <v>0</v>
      </c>
      <c r="J59" s="585">
        <v>1</v>
      </c>
      <c r="K59" s="585">
        <v>0</v>
      </c>
      <c r="L59" s="585">
        <v>0</v>
      </c>
      <c r="M59" s="585">
        <v>0</v>
      </c>
      <c r="N59" s="585">
        <v>0</v>
      </c>
      <c r="O59" s="585"/>
    </row>
    <row r="60" spans="1:15" x14ac:dyDescent="0.25">
      <c r="A60" s="267"/>
      <c r="B60" s="268"/>
      <c r="C60" s="268"/>
      <c r="D60" s="268"/>
      <c r="E60" s="244"/>
      <c r="F60" s="244"/>
      <c r="G60" s="244"/>
      <c r="H60" s="244"/>
      <c r="I60" s="244"/>
      <c r="K60" s="244"/>
      <c r="L60" s="244"/>
      <c r="M60" s="244"/>
      <c r="N60" s="244"/>
      <c r="O60" s="244"/>
    </row>
    <row r="61" spans="1:15" s="334" customFormat="1" x14ac:dyDescent="0.25">
      <c r="A61" s="420" t="s">
        <v>272</v>
      </c>
      <c r="B61" s="421">
        <v>2014</v>
      </c>
      <c r="C61" s="421">
        <v>2015</v>
      </c>
      <c r="D61" s="421">
        <v>2016</v>
      </c>
      <c r="E61" s="421">
        <v>2017</v>
      </c>
      <c r="F61" s="421">
        <v>2018</v>
      </c>
      <c r="G61" s="421">
        <v>2019</v>
      </c>
      <c r="H61" s="421">
        <v>2020</v>
      </c>
      <c r="I61" s="335"/>
      <c r="J61" s="335"/>
      <c r="K61" s="335"/>
      <c r="L61" s="335"/>
      <c r="M61" s="335"/>
      <c r="N61" s="335"/>
      <c r="O61" s="335"/>
    </row>
    <row r="62" spans="1:15" s="334" customFormat="1" x14ac:dyDescent="0.25">
      <c r="A62" s="420" t="s">
        <v>219</v>
      </c>
      <c r="B62" s="420" t="s">
        <v>155</v>
      </c>
      <c r="C62" s="420">
        <v>0.996</v>
      </c>
      <c r="D62" s="591">
        <v>1.02685</v>
      </c>
      <c r="E62" s="416">
        <f>2570/2458</f>
        <v>1.0455655004068349</v>
      </c>
      <c r="F62" s="592" t="s">
        <v>155</v>
      </c>
      <c r="G62" s="416">
        <f>A53</f>
        <v>1.024</v>
      </c>
      <c r="H62" s="416">
        <f>F35</f>
        <v>1.0418091980235651</v>
      </c>
      <c r="I62" s="335"/>
      <c r="J62" s="335"/>
      <c r="K62" s="335"/>
      <c r="L62" s="335"/>
      <c r="M62" s="335"/>
      <c r="N62" s="335"/>
      <c r="O62" s="335"/>
    </row>
    <row r="63" spans="1:15" s="334" customFormat="1" x14ac:dyDescent="0.25">
      <c r="A63" s="420" t="s">
        <v>273</v>
      </c>
      <c r="B63" s="421">
        <v>9274</v>
      </c>
      <c r="C63" s="593">
        <f>B63*C62</f>
        <v>9236.9040000000005</v>
      </c>
      <c r="D63" s="593">
        <f>B63*D62</f>
        <v>9523.0069000000003</v>
      </c>
      <c r="E63" s="593">
        <f>B63*E62</f>
        <v>9696.5744507729869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</row>
    <row r="64" spans="1:15" s="334" customFormat="1" x14ac:dyDescent="0.25">
      <c r="A64" s="422"/>
      <c r="B64" s="423"/>
      <c r="C64" s="423"/>
      <c r="D64" s="423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</row>
    <row r="65" spans="1:15" s="334" customFormat="1" x14ac:dyDescent="0.25">
      <c r="A65" s="594" t="s">
        <v>343</v>
      </c>
      <c r="B65" s="595"/>
      <c r="C65" s="595"/>
      <c r="D65" s="596"/>
      <c r="E65" s="597"/>
      <c r="F65" s="598"/>
      <c r="G65" s="596"/>
      <c r="H65" s="335"/>
      <c r="I65" s="335"/>
      <c r="J65" s="335"/>
      <c r="K65" s="335"/>
      <c r="L65" s="335"/>
      <c r="M65" s="335"/>
      <c r="N65" s="335"/>
      <c r="O65" s="335"/>
    </row>
    <row r="66" spans="1:15" s="334" customFormat="1" x14ac:dyDescent="0.25">
      <c r="A66" s="599" t="s">
        <v>388</v>
      </c>
      <c r="B66" s="598"/>
      <c r="C66" s="596"/>
      <c r="D66" s="335"/>
      <c r="E66" s="335"/>
      <c r="F66" s="335"/>
      <c r="G66" s="335"/>
      <c r="H66" s="335"/>
      <c r="I66" s="335"/>
      <c r="J66" s="335"/>
      <c r="K66" s="335"/>
    </row>
    <row r="67" spans="1:15" s="334" customFormat="1" x14ac:dyDescent="0.25">
      <c r="A67" s="599" t="s">
        <v>389</v>
      </c>
      <c r="B67" s="598"/>
      <c r="C67" s="596"/>
      <c r="D67" s="335"/>
      <c r="E67" s="335"/>
      <c r="F67" s="335"/>
      <c r="G67" s="335"/>
      <c r="H67" s="335"/>
      <c r="I67" s="335"/>
      <c r="J67" s="335"/>
      <c r="K67" s="335"/>
    </row>
    <row r="68" spans="1:15" s="334" customFormat="1" x14ac:dyDescent="0.25">
      <c r="A68" s="599" t="s">
        <v>390</v>
      </c>
      <c r="B68" s="598"/>
      <c r="C68" s="596"/>
      <c r="D68" s="335"/>
      <c r="E68" s="335"/>
      <c r="F68" s="335"/>
      <c r="G68" s="335"/>
      <c r="H68" s="335"/>
      <c r="I68" s="335"/>
      <c r="J68" s="335"/>
      <c r="K68" s="335"/>
    </row>
    <row r="69" spans="1:15" s="334" customFormat="1" x14ac:dyDescent="0.25">
      <c r="A69" s="599" t="s">
        <v>391</v>
      </c>
      <c r="B69" s="598"/>
      <c r="C69" s="596"/>
      <c r="D69" s="335"/>
      <c r="E69" s="335"/>
      <c r="F69" s="335"/>
      <c r="G69" s="335"/>
      <c r="H69" s="335"/>
      <c r="I69" s="335"/>
      <c r="J69" s="335"/>
      <c r="K69" s="335"/>
    </row>
    <row r="70" spans="1:15" x14ac:dyDescent="0.25">
      <c r="A70" s="324"/>
      <c r="B70" s="325"/>
      <c r="C70" s="326"/>
      <c r="D70" s="324"/>
      <c r="E70" s="244"/>
      <c r="F70" s="244"/>
      <c r="G70" s="244"/>
      <c r="H70" s="244"/>
      <c r="I70" s="244"/>
      <c r="J70" s="244"/>
      <c r="K70" s="244"/>
      <c r="L70" s="244"/>
    </row>
    <row r="71" spans="1:15" x14ac:dyDescent="0.25">
      <c r="A71" s="324"/>
      <c r="B71" s="325"/>
      <c r="C71" s="326"/>
      <c r="D71" s="324"/>
      <c r="E71" s="244"/>
      <c r="F71" s="244"/>
      <c r="G71" s="244"/>
      <c r="H71" s="244"/>
      <c r="I71" s="244"/>
      <c r="J71" s="244"/>
      <c r="K71" s="244"/>
      <c r="L71" s="244"/>
    </row>
    <row r="72" spans="1:15" x14ac:dyDescent="0.25">
      <c r="A72" s="256" t="s">
        <v>250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</row>
    <row r="73" spans="1:15" ht="90" x14ac:dyDescent="0.25">
      <c r="A73" s="270" t="s">
        <v>264</v>
      </c>
      <c r="B73" s="270" t="s">
        <v>219</v>
      </c>
      <c r="C73" s="270" t="s">
        <v>220</v>
      </c>
      <c r="D73" s="261" t="s">
        <v>221</v>
      </c>
      <c r="E73" s="261" t="s">
        <v>20</v>
      </c>
      <c r="F73" s="261" t="s">
        <v>26</v>
      </c>
      <c r="G73" s="261" t="s">
        <v>21</v>
      </c>
      <c r="H73" s="262" t="s">
        <v>35</v>
      </c>
      <c r="I73" s="261" t="s">
        <v>17</v>
      </c>
      <c r="J73" s="261" t="s">
        <v>222</v>
      </c>
      <c r="K73" s="261" t="s">
        <v>32</v>
      </c>
      <c r="L73" s="261" t="s">
        <v>29</v>
      </c>
      <c r="M73" s="261" t="s">
        <v>31</v>
      </c>
      <c r="N73" s="261" t="s">
        <v>19</v>
      </c>
    </row>
    <row r="74" spans="1:15" x14ac:dyDescent="0.25">
      <c r="A74" s="270">
        <v>2017</v>
      </c>
      <c r="B74" s="264">
        <f>2570/2458</f>
        <v>1.0455655004068349</v>
      </c>
      <c r="C74" s="327">
        <f>B74*C77</f>
        <v>1777.4613506916194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0">
        <v>0</v>
      </c>
      <c r="L74" s="320">
        <v>0</v>
      </c>
      <c r="M74" s="320">
        <v>0</v>
      </c>
      <c r="N74" s="320">
        <v>0</v>
      </c>
    </row>
    <row r="75" spans="1:15" x14ac:dyDescent="0.25">
      <c r="A75" s="263">
        <v>2016</v>
      </c>
      <c r="B75" s="264">
        <v>1.02685</v>
      </c>
      <c r="C75" s="320">
        <f>C77*B75</f>
        <v>1745.645</v>
      </c>
      <c r="D75" s="320">
        <v>0</v>
      </c>
      <c r="E75" s="320">
        <v>0</v>
      </c>
      <c r="F75" s="320">
        <v>0</v>
      </c>
      <c r="G75" s="320">
        <v>0</v>
      </c>
      <c r="H75" s="320">
        <f>$C75/2</f>
        <v>872.82249999999999</v>
      </c>
      <c r="I75" s="320">
        <v>0</v>
      </c>
      <c r="J75" s="320">
        <v>0</v>
      </c>
      <c r="K75" s="320">
        <v>0</v>
      </c>
      <c r="L75" s="320">
        <f>$C75/2</f>
        <v>872.82249999999999</v>
      </c>
      <c r="M75" s="320">
        <v>0</v>
      </c>
      <c r="N75" s="320">
        <v>0</v>
      </c>
    </row>
    <row r="76" spans="1:15" x14ac:dyDescent="0.25">
      <c r="A76" s="263">
        <v>2015</v>
      </c>
      <c r="B76" s="265">
        <v>0.996</v>
      </c>
      <c r="C76" s="320">
        <f>C77*B76</f>
        <v>1693.2</v>
      </c>
      <c r="D76" s="320">
        <v>0</v>
      </c>
      <c r="E76" s="320">
        <v>0</v>
      </c>
      <c r="F76" s="320">
        <v>0</v>
      </c>
      <c r="G76" s="320">
        <v>0</v>
      </c>
      <c r="H76" s="320">
        <f>$C76/2</f>
        <v>846.6</v>
      </c>
      <c r="I76" s="320">
        <v>0</v>
      </c>
      <c r="J76" s="320">
        <v>0</v>
      </c>
      <c r="K76" s="320">
        <v>0</v>
      </c>
      <c r="L76" s="320">
        <f>$C76/2</f>
        <v>846.6</v>
      </c>
      <c r="M76" s="320">
        <v>0</v>
      </c>
      <c r="N76" s="320">
        <v>0</v>
      </c>
    </row>
    <row r="77" spans="1:15" x14ac:dyDescent="0.25">
      <c r="A77" s="263">
        <v>2014</v>
      </c>
      <c r="B77" s="271" t="s">
        <v>155</v>
      </c>
      <c r="C77" s="320">
        <v>1700</v>
      </c>
      <c r="D77" s="320">
        <v>0</v>
      </c>
      <c r="E77" s="320">
        <v>0</v>
      </c>
      <c r="F77" s="320">
        <v>0</v>
      </c>
      <c r="G77" s="320">
        <v>0</v>
      </c>
      <c r="H77" s="320">
        <f>$C77/2</f>
        <v>850</v>
      </c>
      <c r="I77" s="320">
        <v>0</v>
      </c>
      <c r="J77" s="320">
        <v>0</v>
      </c>
      <c r="K77" s="320">
        <v>0</v>
      </c>
      <c r="L77" s="320">
        <f>$C77/2</f>
        <v>850</v>
      </c>
      <c r="M77" s="320">
        <v>0</v>
      </c>
      <c r="N77" s="320">
        <v>0</v>
      </c>
    </row>
  </sheetData>
  <mergeCells count="24">
    <mergeCell ref="A1:A3"/>
    <mergeCell ref="B1:D1"/>
    <mergeCell ref="F1:F3"/>
    <mergeCell ref="G1:I1"/>
    <mergeCell ref="B2:D2"/>
    <mergeCell ref="G2:I2"/>
    <mergeCell ref="D30:E30"/>
    <mergeCell ref="D31:E31"/>
    <mergeCell ref="D32:E32"/>
    <mergeCell ref="D33:E33"/>
    <mergeCell ref="D34:E34"/>
    <mergeCell ref="D35:E35"/>
    <mergeCell ref="D37:F37"/>
    <mergeCell ref="A44:C44"/>
    <mergeCell ref="A45:C45"/>
    <mergeCell ref="A57:B57"/>
    <mergeCell ref="A58:B58"/>
    <mergeCell ref="A59:B59"/>
    <mergeCell ref="A46:C46"/>
    <mergeCell ref="A47:C47"/>
    <mergeCell ref="A51:B51"/>
    <mergeCell ref="A55:B55"/>
    <mergeCell ref="A56:B56"/>
    <mergeCell ref="A54:B5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40"/>
  <sheetViews>
    <sheetView workbookViewId="0">
      <selection activeCell="D26" sqref="A1:D26"/>
    </sheetView>
  </sheetViews>
  <sheetFormatPr baseColWidth="10" defaultColWidth="9.140625" defaultRowHeight="15" x14ac:dyDescent="0.25"/>
  <cols>
    <col min="1" max="1" width="9.140625" style="334"/>
    <col min="2" max="2" width="21.28515625" style="334" customWidth="1"/>
    <col min="3" max="3" width="15.28515625" style="334" customWidth="1"/>
    <col min="4" max="4" width="16" style="334" customWidth="1"/>
    <col min="5" max="5" width="10.42578125" style="334" bestFit="1" customWidth="1"/>
    <col min="6" max="6" width="9.140625" style="334"/>
    <col min="7" max="9" width="11.42578125" style="334" bestFit="1" customWidth="1"/>
    <col min="10" max="16384" width="9.140625" style="334"/>
  </cols>
  <sheetData>
    <row r="1" spans="1:12" ht="15" customHeight="1" x14ac:dyDescent="0.25">
      <c r="A1" s="751" t="s">
        <v>52</v>
      </c>
      <c r="B1" s="773" t="s">
        <v>46</v>
      </c>
      <c r="C1" s="773"/>
      <c r="D1" s="773"/>
      <c r="E1" s="457"/>
      <c r="F1" s="799" t="s">
        <v>52</v>
      </c>
      <c r="G1" s="609"/>
      <c r="H1" s="610"/>
      <c r="I1" s="610"/>
      <c r="J1" s="510"/>
      <c r="K1" s="510"/>
      <c r="L1" s="510"/>
    </row>
    <row r="2" spans="1:12" ht="15" customHeight="1" x14ac:dyDescent="0.25">
      <c r="A2" s="751"/>
      <c r="B2" s="774" t="s">
        <v>438</v>
      </c>
      <c r="C2" s="774"/>
      <c r="D2" s="774"/>
      <c r="E2" s="457"/>
      <c r="F2" s="799"/>
      <c r="G2" s="798">
        <v>2020</v>
      </c>
      <c r="H2" s="798"/>
      <c r="I2" s="798"/>
      <c r="J2" s="611"/>
      <c r="K2" s="335"/>
      <c r="L2" s="335"/>
    </row>
    <row r="3" spans="1:12" ht="60" x14ac:dyDescent="0.25">
      <c r="A3" s="751"/>
      <c r="B3" s="458" t="s">
        <v>158</v>
      </c>
      <c r="C3" s="459" t="s">
        <v>205</v>
      </c>
      <c r="D3" s="459" t="s">
        <v>344</v>
      </c>
      <c r="E3" s="460"/>
      <c r="F3" s="799"/>
      <c r="G3" s="459" t="s">
        <v>199</v>
      </c>
      <c r="H3" s="341" t="s">
        <v>200</v>
      </c>
      <c r="I3" s="612" t="s">
        <v>201</v>
      </c>
    </row>
    <row r="4" spans="1:12" x14ac:dyDescent="0.25">
      <c r="A4" s="344" t="s">
        <v>17</v>
      </c>
      <c r="B4" s="349">
        <f t="shared" ref="B4:B26" si="0">C4+D4</f>
        <v>5616.4566003274813</v>
      </c>
      <c r="C4" s="346">
        <f t="shared" ref="C4:C25" si="1">G4</f>
        <v>5318.9456593490377</v>
      </c>
      <c r="D4" s="347">
        <f t="shared" ref="D4:D24" si="2">IF(C4&lt;&gt;0,$C$39/$C$30,0)</f>
        <v>297.51094097844378</v>
      </c>
      <c r="E4" s="465"/>
      <c r="F4" s="344" t="s">
        <v>17</v>
      </c>
      <c r="G4" s="346">
        <f t="shared" ref="G4:G24" si="3">H4+I4</f>
        <v>5318.9456593490377</v>
      </c>
      <c r="H4" s="349">
        <f>'ANNEXE 1 Grille'!B2*$I$26/2</f>
        <v>4247.668032368173</v>
      </c>
      <c r="I4" s="555">
        <f t="shared" ref="I4:I22" si="4">IF(H4&lt;&gt;0,K$27/C$30,H4)</f>
        <v>1071.2776269808642</v>
      </c>
    </row>
    <row r="5" spans="1:12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f t="shared" si="2"/>
        <v>0</v>
      </c>
      <c r="E5" s="465"/>
      <c r="F5" s="344" t="s">
        <v>18</v>
      </c>
      <c r="G5" s="346">
        <f t="shared" si="3"/>
        <v>0</v>
      </c>
      <c r="H5" s="349"/>
      <c r="I5" s="555">
        <f t="shared" si="4"/>
        <v>0</v>
      </c>
    </row>
    <row r="6" spans="1:12" x14ac:dyDescent="0.25">
      <c r="A6" s="344" t="s">
        <v>19</v>
      </c>
      <c r="B6" s="349">
        <f t="shared" si="0"/>
        <v>2608.8341169879318</v>
      </c>
      <c r="C6" s="346">
        <f t="shared" si="1"/>
        <v>2311.3231760094882</v>
      </c>
      <c r="D6" s="347">
        <f t="shared" si="2"/>
        <v>297.51094097844378</v>
      </c>
      <c r="E6" s="465"/>
      <c r="F6" s="344" t="s">
        <v>19</v>
      </c>
      <c r="G6" s="346">
        <f t="shared" si="3"/>
        <v>2311.3231760094882</v>
      </c>
      <c r="H6" s="349">
        <f>'ANNEXE 1 Grille'!B4*$I$26/2</f>
        <v>1240.045549028624</v>
      </c>
      <c r="I6" s="555">
        <f t="shared" si="4"/>
        <v>1071.2776269808642</v>
      </c>
    </row>
    <row r="7" spans="1:12" x14ac:dyDescent="0.25">
      <c r="A7" s="344" t="s">
        <v>20</v>
      </c>
      <c r="B7" s="349">
        <f t="shared" si="0"/>
        <v>16645.722376397163</v>
      </c>
      <c r="C7" s="346">
        <f t="shared" si="1"/>
        <v>16348.211435418718</v>
      </c>
      <c r="D7" s="347">
        <f t="shared" si="2"/>
        <v>297.51094097844378</v>
      </c>
      <c r="E7" s="465"/>
      <c r="F7" s="344" t="s">
        <v>20</v>
      </c>
      <c r="G7" s="346">
        <f t="shared" si="3"/>
        <v>16348.211435418718</v>
      </c>
      <c r="H7" s="349">
        <f>'ANNEXE 1 Grille'!B5*$I$26/2</f>
        <v>15276.933808437854</v>
      </c>
      <c r="I7" s="555">
        <f t="shared" si="4"/>
        <v>1071.2776269808642</v>
      </c>
    </row>
    <row r="8" spans="1:12" x14ac:dyDescent="0.25">
      <c r="A8" s="344" t="s">
        <v>21</v>
      </c>
      <c r="B8" s="349">
        <f t="shared" si="0"/>
        <v>8764.5981339670816</v>
      </c>
      <c r="C8" s="346">
        <f t="shared" si="1"/>
        <v>8467.087192988638</v>
      </c>
      <c r="D8" s="347">
        <f t="shared" si="2"/>
        <v>297.51094097844378</v>
      </c>
      <c r="E8" s="465"/>
      <c r="F8" s="344" t="s">
        <v>21</v>
      </c>
      <c r="G8" s="346">
        <f t="shared" si="3"/>
        <v>8467.087192988638</v>
      </c>
      <c r="H8" s="349">
        <f>'ANNEXE 1 Grille'!B6*$I$26/2</f>
        <v>7395.8095660077734</v>
      </c>
      <c r="I8" s="555">
        <f t="shared" si="4"/>
        <v>1071.2776269808642</v>
      </c>
    </row>
    <row r="9" spans="1:12" x14ac:dyDescent="0.25">
      <c r="A9" s="344" t="s">
        <v>22</v>
      </c>
      <c r="B9" s="349">
        <f t="shared" si="0"/>
        <v>1791.010116273598</v>
      </c>
      <c r="C9" s="346">
        <f t="shared" si="1"/>
        <v>1493.4991752951541</v>
      </c>
      <c r="D9" s="347">
        <f t="shared" si="2"/>
        <v>297.51094097844378</v>
      </c>
      <c r="E9" s="465"/>
      <c r="F9" s="344" t="s">
        <v>22</v>
      </c>
      <c r="G9" s="346">
        <f t="shared" si="3"/>
        <v>1493.4991752951541</v>
      </c>
      <c r="H9" s="349">
        <f>'ANNEXE 1 Grille'!B7*$I$26/2</f>
        <v>422.22154831429009</v>
      </c>
      <c r="I9" s="555">
        <f t="shared" si="4"/>
        <v>1071.2776269808642</v>
      </c>
    </row>
    <row r="10" spans="1:12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f t="shared" si="2"/>
        <v>0</v>
      </c>
      <c r="E10" s="465"/>
      <c r="F10" s="344" t="s">
        <v>23</v>
      </c>
      <c r="G10" s="346">
        <f t="shared" si="3"/>
        <v>0</v>
      </c>
      <c r="H10" s="349"/>
      <c r="I10" s="555">
        <f t="shared" si="4"/>
        <v>0</v>
      </c>
    </row>
    <row r="11" spans="1:12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f t="shared" si="2"/>
        <v>0</v>
      </c>
      <c r="E11" s="465"/>
      <c r="F11" s="344" t="s">
        <v>24</v>
      </c>
      <c r="G11" s="346">
        <f t="shared" si="3"/>
        <v>0</v>
      </c>
      <c r="H11" s="349"/>
      <c r="I11" s="555">
        <f t="shared" si="4"/>
        <v>0</v>
      </c>
    </row>
    <row r="12" spans="1:12" x14ac:dyDescent="0.25">
      <c r="A12" s="344" t="s">
        <v>25</v>
      </c>
      <c r="B12" s="349">
        <f t="shared" si="0"/>
        <v>15802.908681447781</v>
      </c>
      <c r="C12" s="346">
        <f t="shared" si="1"/>
        <v>15505.397740469338</v>
      </c>
      <c r="D12" s="347">
        <f t="shared" si="2"/>
        <v>297.51094097844378</v>
      </c>
      <c r="E12" s="465"/>
      <c r="F12" s="344" t="s">
        <v>25</v>
      </c>
      <c r="G12" s="346">
        <f t="shared" si="3"/>
        <v>15505.397740469338</v>
      </c>
      <c r="H12" s="349">
        <f>'ANNEXE 1 Grille'!B10*$I$26/2</f>
        <v>14434.120113488474</v>
      </c>
      <c r="I12" s="555">
        <f t="shared" si="4"/>
        <v>1071.2776269808642</v>
      </c>
    </row>
    <row r="13" spans="1:12" x14ac:dyDescent="0.25">
      <c r="A13" s="344" t="s">
        <v>26</v>
      </c>
      <c r="B13" s="349">
        <f t="shared" si="0"/>
        <v>8926.280310579994</v>
      </c>
      <c r="C13" s="346">
        <f t="shared" si="1"/>
        <v>8628.7693696015504</v>
      </c>
      <c r="D13" s="347">
        <f t="shared" si="2"/>
        <v>297.51094097844378</v>
      </c>
      <c r="E13" s="465"/>
      <c r="F13" s="344" t="s">
        <v>26</v>
      </c>
      <c r="G13" s="346">
        <f t="shared" si="3"/>
        <v>8628.7693696015504</v>
      </c>
      <c r="H13" s="349">
        <f>'ANNEXE 1 Grille'!B11*$I$26/2</f>
        <v>7557.4917426206866</v>
      </c>
      <c r="I13" s="555">
        <f t="shared" si="4"/>
        <v>1071.2776269808642</v>
      </c>
    </row>
    <row r="14" spans="1:12" x14ac:dyDescent="0.25">
      <c r="A14" s="344" t="s">
        <v>27</v>
      </c>
      <c r="B14" s="349">
        <f t="shared" si="0"/>
        <v>7922.5709376099694</v>
      </c>
      <c r="C14" s="346">
        <f t="shared" si="1"/>
        <v>7625.0599966315258</v>
      </c>
      <c r="D14" s="347">
        <f t="shared" si="2"/>
        <v>297.51094097844378</v>
      </c>
      <c r="E14" s="465"/>
      <c r="F14" s="344" t="s">
        <v>27</v>
      </c>
      <c r="G14" s="346">
        <f t="shared" si="3"/>
        <v>7625.0599966315258</v>
      </c>
      <c r="H14" s="349">
        <f>'ANNEXE 1 Grille'!B12*$I$26/2</f>
        <v>6553.7823696506621</v>
      </c>
      <c r="I14" s="555">
        <f t="shared" si="4"/>
        <v>1071.2776269808642</v>
      </c>
    </row>
    <row r="15" spans="1:12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 t="shared" si="2"/>
        <v>0</v>
      </c>
      <c r="E15" s="465"/>
      <c r="F15" s="344" t="s">
        <v>28</v>
      </c>
      <c r="G15" s="346">
        <f t="shared" si="3"/>
        <v>0</v>
      </c>
      <c r="H15" s="349"/>
      <c r="I15" s="555">
        <f t="shared" si="4"/>
        <v>0</v>
      </c>
    </row>
    <row r="16" spans="1:12" x14ac:dyDescent="0.25">
      <c r="A16" s="344" t="s">
        <v>29</v>
      </c>
      <c r="B16" s="349">
        <f t="shared" si="0"/>
        <v>5219.0663620891883</v>
      </c>
      <c r="C16" s="346">
        <f t="shared" si="1"/>
        <v>4921.5554211107446</v>
      </c>
      <c r="D16" s="347">
        <f t="shared" si="2"/>
        <v>297.51094097844378</v>
      </c>
      <c r="E16" s="465"/>
      <c r="F16" s="344" t="s">
        <v>29</v>
      </c>
      <c r="G16" s="346">
        <f t="shared" si="3"/>
        <v>4921.5554211107446</v>
      </c>
      <c r="H16" s="349">
        <f>'ANNEXE 1 Grille'!B14*$I$26/2</f>
        <v>3850.2777941298809</v>
      </c>
      <c r="I16" s="555">
        <f t="shared" si="4"/>
        <v>1071.2776269808642</v>
      </c>
    </row>
    <row r="17" spans="1:12" x14ac:dyDescent="0.25">
      <c r="A17" s="344" t="s">
        <v>30</v>
      </c>
      <c r="B17" s="349">
        <f t="shared" si="0"/>
        <v>9629.0769751229436</v>
      </c>
      <c r="C17" s="346">
        <f t="shared" si="1"/>
        <v>9331.5660341445</v>
      </c>
      <c r="D17" s="347">
        <f t="shared" si="2"/>
        <v>297.51094097844378</v>
      </c>
      <c r="E17" s="465"/>
      <c r="F17" s="344" t="s">
        <v>30</v>
      </c>
      <c r="G17" s="346">
        <f t="shared" si="3"/>
        <v>9331.5660341445</v>
      </c>
      <c r="H17" s="349">
        <f>'ANNEXE 1 Grille'!B15*$I$26/2</f>
        <v>8260.2884071636363</v>
      </c>
      <c r="I17" s="555">
        <f t="shared" si="4"/>
        <v>1071.2776269808642</v>
      </c>
    </row>
    <row r="18" spans="1:12" x14ac:dyDescent="0.25">
      <c r="A18" s="344" t="s">
        <v>31</v>
      </c>
      <c r="B18" s="349">
        <f t="shared" si="0"/>
        <v>3082.2752498115588</v>
      </c>
      <c r="C18" s="346">
        <f t="shared" si="1"/>
        <v>2784.7643088331151</v>
      </c>
      <c r="D18" s="347">
        <f t="shared" si="2"/>
        <v>297.51094097844378</v>
      </c>
      <c r="E18" s="465"/>
      <c r="F18" s="344" t="s">
        <v>31</v>
      </c>
      <c r="G18" s="346">
        <f t="shared" si="3"/>
        <v>2784.7643088331151</v>
      </c>
      <c r="H18" s="349">
        <f>'ANNEXE 1 Grille'!B16*$I$26/2</f>
        <v>1713.4866818522507</v>
      </c>
      <c r="I18" s="555">
        <f t="shared" si="4"/>
        <v>1071.2776269808642</v>
      </c>
    </row>
    <row r="19" spans="1:12" x14ac:dyDescent="0.25">
      <c r="A19" s="344" t="s">
        <v>32</v>
      </c>
      <c r="B19" s="349">
        <f t="shared" si="0"/>
        <v>4413.8993524157404</v>
      </c>
      <c r="C19" s="346">
        <f t="shared" si="1"/>
        <v>4116.3884114372968</v>
      </c>
      <c r="D19" s="347">
        <f t="shared" si="2"/>
        <v>297.51094097844378</v>
      </c>
      <c r="E19" s="465"/>
      <c r="F19" s="344" t="s">
        <v>32</v>
      </c>
      <c r="G19" s="346">
        <f t="shared" si="3"/>
        <v>4116.3884114372968</v>
      </c>
      <c r="H19" s="349">
        <f>'ANNEXE 1 Grille'!B17*$I$26/2</f>
        <v>3045.1107844564326</v>
      </c>
      <c r="I19" s="555">
        <f t="shared" si="4"/>
        <v>1071.2776269808642</v>
      </c>
    </row>
    <row r="20" spans="1:12" x14ac:dyDescent="0.25">
      <c r="A20" s="344" t="s">
        <v>33</v>
      </c>
      <c r="B20" s="349">
        <f t="shared" si="0"/>
        <v>3270.7492126192101</v>
      </c>
      <c r="C20" s="346">
        <f t="shared" si="1"/>
        <v>2973.2382716407665</v>
      </c>
      <c r="D20" s="347">
        <f t="shared" si="2"/>
        <v>297.51094097844378</v>
      </c>
      <c r="E20" s="465"/>
      <c r="F20" s="344" t="s">
        <v>33</v>
      </c>
      <c r="G20" s="346">
        <f t="shared" si="3"/>
        <v>2973.2382716407665</v>
      </c>
      <c r="H20" s="349">
        <f>'ANNEXE 1 Grille'!B18*$I$26/2</f>
        <v>1901.9606446599021</v>
      </c>
      <c r="I20" s="555">
        <f t="shared" si="4"/>
        <v>1071.2776269808642</v>
      </c>
    </row>
    <row r="21" spans="1:12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 t="shared" si="2"/>
        <v>0</v>
      </c>
      <c r="E21" s="465"/>
      <c r="F21" s="344" t="s">
        <v>34</v>
      </c>
      <c r="G21" s="346">
        <f t="shared" si="3"/>
        <v>0</v>
      </c>
      <c r="H21" s="349"/>
      <c r="I21" s="555">
        <f>IF(H21&lt;&gt;0,K$27/D$29,H21)</f>
        <v>0</v>
      </c>
    </row>
    <row r="22" spans="1:12" x14ac:dyDescent="0.25">
      <c r="A22" s="344" t="s">
        <v>35</v>
      </c>
      <c r="B22" s="349">
        <f t="shared" si="0"/>
        <v>12317.930137634259</v>
      </c>
      <c r="C22" s="346">
        <f t="shared" si="1"/>
        <v>12020.419196655816</v>
      </c>
      <c r="D22" s="347">
        <f t="shared" si="2"/>
        <v>297.51094097844378</v>
      </c>
      <c r="E22" s="465"/>
      <c r="F22" s="344" t="s">
        <v>35</v>
      </c>
      <c r="G22" s="346">
        <f t="shared" si="3"/>
        <v>12020.419196655816</v>
      </c>
      <c r="H22" s="349">
        <f>'ANNEXE 1 Grille'!B20*$I$26/2</f>
        <v>10949.141569674952</v>
      </c>
      <c r="I22" s="555">
        <f t="shared" si="4"/>
        <v>1071.2776269808642</v>
      </c>
    </row>
    <row r="23" spans="1:12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f t="shared" si="2"/>
        <v>0</v>
      </c>
      <c r="E23" s="465"/>
      <c r="F23" s="344" t="s">
        <v>36</v>
      </c>
      <c r="G23" s="346">
        <f t="shared" si="3"/>
        <v>0</v>
      </c>
      <c r="H23" s="349"/>
      <c r="I23" s="555">
        <f>IF(H23&lt;&gt;0,K$27/D$29,H23)</f>
        <v>0</v>
      </c>
    </row>
    <row r="24" spans="1:12" x14ac:dyDescent="0.25">
      <c r="A24" s="344" t="s">
        <v>38</v>
      </c>
      <c r="B24" s="349">
        <f t="shared" si="0"/>
        <v>0</v>
      </c>
      <c r="C24" s="346">
        <f t="shared" si="1"/>
        <v>0</v>
      </c>
      <c r="D24" s="347">
        <f t="shared" si="2"/>
        <v>0</v>
      </c>
      <c r="E24" s="465"/>
      <c r="F24" s="344" t="s">
        <v>38</v>
      </c>
      <c r="G24" s="346">
        <f t="shared" si="3"/>
        <v>0</v>
      </c>
      <c r="H24" s="349"/>
      <c r="I24" s="555"/>
    </row>
    <row r="25" spans="1:12" x14ac:dyDescent="0.25">
      <c r="A25" s="344" t="s">
        <v>4</v>
      </c>
      <c r="B25" s="349">
        <f t="shared" si="0"/>
        <v>101846.2253895857</v>
      </c>
      <c r="C25" s="346">
        <f t="shared" si="1"/>
        <v>101846.2253895857</v>
      </c>
      <c r="D25" s="464"/>
      <c r="E25" s="465"/>
      <c r="F25" s="344" t="s">
        <v>4</v>
      </c>
      <c r="G25" s="613">
        <f>I26/2</f>
        <v>101846.2253895857</v>
      </c>
      <c r="H25" s="349">
        <f>I26/2</f>
        <v>101846.2253895857</v>
      </c>
      <c r="I25" s="555"/>
    </row>
    <row r="26" spans="1:12" ht="45" x14ac:dyDescent="0.25">
      <c r="A26" s="364" t="s">
        <v>49</v>
      </c>
      <c r="B26" s="466">
        <f t="shared" si="0"/>
        <v>207857.60395286957</v>
      </c>
      <c r="C26" s="368">
        <f>SUM(C4:C25)</f>
        <v>203692.45077917137</v>
      </c>
      <c r="D26" s="368">
        <f>SUM(D4:D25)</f>
        <v>4165.1531736982124</v>
      </c>
      <c r="E26" s="467"/>
      <c r="F26" s="364" t="s">
        <v>49</v>
      </c>
      <c r="G26" s="368">
        <f>SUM(G4:G25)</f>
        <v>203692.45077917137</v>
      </c>
      <c r="H26" s="614">
        <f>SUM(H4:I25)</f>
        <v>203692.45077917143</v>
      </c>
      <c r="I26" s="557">
        <f>C32</f>
        <v>203692.4507791714</v>
      </c>
    </row>
    <row r="27" spans="1:12" hidden="1" x14ac:dyDescent="0.25">
      <c r="A27" s="383"/>
      <c r="B27" s="384"/>
      <c r="C27" s="378"/>
      <c r="D27" s="378"/>
      <c r="E27" s="378"/>
      <c r="F27" s="478"/>
      <c r="G27" s="478"/>
      <c r="H27" s="615"/>
      <c r="I27" s="615"/>
      <c r="J27" s="615"/>
      <c r="K27" s="616">
        <f>I26/2-SUM(H4:H24)</f>
        <v>14997.886777732099</v>
      </c>
      <c r="L27" s="617"/>
    </row>
    <row r="28" spans="1:12" x14ac:dyDescent="0.25">
      <c r="A28" s="545" t="s">
        <v>39</v>
      </c>
      <c r="B28" s="546">
        <f>SUM(B4:B25)</f>
        <v>207857.6039528696</v>
      </c>
      <c r="C28" s="546">
        <f>SUM(C4:C25)</f>
        <v>203692.45077917137</v>
      </c>
      <c r="D28" s="546">
        <f>SUM(D4:D25)</f>
        <v>4165.1531736982124</v>
      </c>
      <c r="E28" s="424"/>
      <c r="F28" s="424"/>
      <c r="G28" s="424"/>
      <c r="H28" s="618"/>
      <c r="J28" s="619"/>
    </row>
    <row r="29" spans="1:12" x14ac:dyDescent="0.25">
      <c r="C29" s="620"/>
      <c r="D29" s="620"/>
      <c r="E29" s="620"/>
      <c r="F29" s="620"/>
      <c r="G29" s="620"/>
    </row>
    <row r="30" spans="1:12" ht="15" customHeight="1" x14ac:dyDescent="0.25">
      <c r="A30" s="775" t="s">
        <v>254</v>
      </c>
      <c r="B30" s="775"/>
      <c r="C30" s="621">
        <f>SUBTOTAL(3,H4:H23)</f>
        <v>14</v>
      </c>
    </row>
    <row r="31" spans="1:12" ht="15" customHeight="1" x14ac:dyDescent="0.25">
      <c r="A31" s="752" t="s">
        <v>208</v>
      </c>
      <c r="B31" s="752"/>
      <c r="C31" s="752"/>
    </row>
    <row r="32" spans="1:12" x14ac:dyDescent="0.25">
      <c r="A32" s="800" t="s">
        <v>441</v>
      </c>
      <c r="B32" s="801"/>
      <c r="C32" s="368">
        <f>C34*C36</f>
        <v>203692.4507791714</v>
      </c>
    </row>
    <row r="33" spans="1:3" x14ac:dyDescent="0.25">
      <c r="A33" s="800" t="s">
        <v>435</v>
      </c>
      <c r="B33" s="801"/>
      <c r="C33" s="368">
        <f>C32*1.2</f>
        <v>244430.94093500567</v>
      </c>
    </row>
    <row r="34" spans="1:3" x14ac:dyDescent="0.25">
      <c r="A34" s="800" t="s">
        <v>210</v>
      </c>
      <c r="B34" s="801"/>
      <c r="C34" s="368">
        <v>195518</v>
      </c>
    </row>
    <row r="35" spans="1:3" x14ac:dyDescent="0.25">
      <c r="A35" s="800" t="s">
        <v>211</v>
      </c>
      <c r="B35" s="801"/>
      <c r="C35" s="368">
        <f>C34*1.2</f>
        <v>234621.6</v>
      </c>
    </row>
    <row r="36" spans="1:3" x14ac:dyDescent="0.25">
      <c r="A36" s="800" t="s">
        <v>436</v>
      </c>
      <c r="B36" s="801"/>
      <c r="C36" s="622">
        <f>2741/2631</f>
        <v>1.0418091980235651</v>
      </c>
    </row>
    <row r="37" spans="1:3" x14ac:dyDescent="0.25">
      <c r="A37" s="424"/>
      <c r="B37" s="424"/>
      <c r="C37" s="424"/>
    </row>
    <row r="38" spans="1:3" x14ac:dyDescent="0.25">
      <c r="A38" s="767" t="s">
        <v>256</v>
      </c>
      <c r="B38" s="767"/>
      <c r="C38" s="767"/>
    </row>
    <row r="39" spans="1:3" x14ac:dyDescent="0.25">
      <c r="A39" s="796" t="s">
        <v>444</v>
      </c>
      <c r="B39" s="797"/>
      <c r="C39" s="368">
        <f>C40*C36</f>
        <v>4165.1531736982133</v>
      </c>
    </row>
    <row r="40" spans="1:3" x14ac:dyDescent="0.25">
      <c r="A40" s="796" t="s">
        <v>402</v>
      </c>
      <c r="B40" s="797"/>
      <c r="C40" s="368">
        <v>3998</v>
      </c>
    </row>
  </sheetData>
  <mergeCells count="15">
    <mergeCell ref="A40:B40"/>
    <mergeCell ref="A39:B39"/>
    <mergeCell ref="G2:I2"/>
    <mergeCell ref="A30:B30"/>
    <mergeCell ref="A31:C31"/>
    <mergeCell ref="A38:C38"/>
    <mergeCell ref="A1:A3"/>
    <mergeCell ref="B1:D1"/>
    <mergeCell ref="F1:F3"/>
    <mergeCell ref="B2:D2"/>
    <mergeCell ref="A34:B34"/>
    <mergeCell ref="A35:B35"/>
    <mergeCell ref="A36:B36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35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baseColWidth="10" defaultColWidth="9.140625" defaultRowHeight="15" x14ac:dyDescent="0.25"/>
  <cols>
    <col min="1" max="1" width="9.140625" style="334"/>
    <col min="2" max="2" width="11.85546875" style="334" bestFit="1" customWidth="1"/>
    <col min="3" max="3" width="9.85546875" style="334" bestFit="1" customWidth="1"/>
    <col min="4" max="4" width="8.7109375" style="334" bestFit="1" customWidth="1"/>
    <col min="5" max="6" width="9.140625" style="334"/>
    <col min="7" max="7" width="9.85546875" style="334" bestFit="1" customWidth="1"/>
    <col min="8" max="8" width="8.7109375" style="334" bestFit="1" customWidth="1"/>
    <col min="9" max="16384" width="9.140625" style="205"/>
  </cols>
  <sheetData>
    <row r="1" spans="1:10" ht="15" customHeight="1" x14ac:dyDescent="0.25">
      <c r="A1" s="751" t="s">
        <v>52</v>
      </c>
      <c r="B1" s="803" t="s">
        <v>345</v>
      </c>
      <c r="C1" s="803"/>
      <c r="D1" s="803"/>
      <c r="E1" s="623"/>
      <c r="F1" s="804" t="s">
        <v>346</v>
      </c>
      <c r="G1" s="804"/>
      <c r="H1" s="804"/>
      <c r="I1" s="328"/>
      <c r="J1" s="329"/>
    </row>
    <row r="2" spans="1:10" ht="15" customHeight="1" x14ac:dyDescent="0.25">
      <c r="A2" s="751"/>
      <c r="B2" s="794">
        <v>2020</v>
      </c>
      <c r="C2" s="794"/>
      <c r="D2" s="794"/>
      <c r="E2" s="624"/>
      <c r="F2" s="794">
        <v>2020</v>
      </c>
      <c r="G2" s="794"/>
      <c r="H2" s="794"/>
    </row>
    <row r="3" spans="1:10" ht="45" customHeight="1" x14ac:dyDescent="0.25">
      <c r="A3" s="751"/>
      <c r="B3" s="571" t="s">
        <v>199</v>
      </c>
      <c r="C3" s="572" t="s">
        <v>200</v>
      </c>
      <c r="D3" s="573" t="s">
        <v>201</v>
      </c>
      <c r="E3" s="625"/>
      <c r="F3" s="571" t="s">
        <v>199</v>
      </c>
      <c r="G3" s="626" t="s">
        <v>200</v>
      </c>
      <c r="H3" s="573" t="s">
        <v>201</v>
      </c>
    </row>
    <row r="4" spans="1:10" x14ac:dyDescent="0.25">
      <c r="A4" s="344" t="s">
        <v>17</v>
      </c>
      <c r="B4" s="553">
        <f t="shared" ref="B4:B25" si="0">C4+D4</f>
        <v>1847.4154376840524</v>
      </c>
      <c r="C4" s="554">
        <f>'ANNEXE 1 Grille'!B2*($D$31-$C$25-$C$24)</f>
        <v>1414.5085922746669</v>
      </c>
      <c r="D4" s="555">
        <f t="shared" ref="D4:D22" si="1">IF(C4&lt;&gt;0,$D$27/$D$29,C4)</f>
        <v>432.9068454093856</v>
      </c>
      <c r="E4" s="627"/>
      <c r="F4" s="553">
        <f t="shared" ref="F4:F25" si="2">G4+H4</f>
        <v>1419.1509498572952</v>
      </c>
      <c r="G4" s="628">
        <f>'ANNEXE 1 Grille'!B2*$H$31*60/100</f>
        <v>1086.5997822473578</v>
      </c>
      <c r="H4" s="555">
        <f t="shared" ref="H4:H23" si="3">IF(G4&lt;&gt;0,$H$27/$H$29,G4)</f>
        <v>332.55116760993741</v>
      </c>
    </row>
    <row r="5" spans="1:10" x14ac:dyDescent="0.25">
      <c r="A5" s="344" t="s">
        <v>18</v>
      </c>
      <c r="B5" s="553">
        <f t="shared" si="0"/>
        <v>0</v>
      </c>
      <c r="C5" s="554"/>
      <c r="D5" s="555">
        <f t="shared" si="1"/>
        <v>0</v>
      </c>
      <c r="E5" s="627"/>
      <c r="F5" s="553">
        <f t="shared" si="2"/>
        <v>0</v>
      </c>
      <c r="G5" s="628"/>
      <c r="H5" s="555">
        <f t="shared" si="3"/>
        <v>0</v>
      </c>
    </row>
    <row r="6" spans="1:10" x14ac:dyDescent="0.25">
      <c r="A6" s="344" t="s">
        <v>19</v>
      </c>
      <c r="B6" s="553">
        <f t="shared" si="0"/>
        <v>845.8522711221899</v>
      </c>
      <c r="C6" s="554">
        <f>'ANNEXE 1 Grille'!B4*($D$31-$C$25-$C$24)</f>
        <v>412.94542571280437</v>
      </c>
      <c r="D6" s="629">
        <f t="shared" si="1"/>
        <v>432.9068454093856</v>
      </c>
      <c r="E6" s="627"/>
      <c r="F6" s="553">
        <f t="shared" si="2"/>
        <v>649.7683355438644</v>
      </c>
      <c r="G6" s="628">
        <f>'ANNEXE 1 Grille'!B4*$H$31*60/100</f>
        <v>317.21716793392704</v>
      </c>
      <c r="H6" s="555">
        <f t="shared" si="3"/>
        <v>332.55116760993741</v>
      </c>
    </row>
    <row r="7" spans="1:10" x14ac:dyDescent="0.25">
      <c r="A7" s="344" t="s">
        <v>20</v>
      </c>
      <c r="B7" s="553">
        <f t="shared" si="0"/>
        <v>5520.2521772429054</v>
      </c>
      <c r="C7" s="554">
        <f>'ANNEXE 1 Grille'!B5*($D$31-$C$25-$C$24)</f>
        <v>5087.3453318335196</v>
      </c>
      <c r="D7" s="555">
        <f t="shared" si="1"/>
        <v>432.9068454093856</v>
      </c>
      <c r="E7" s="627"/>
      <c r="F7" s="553">
        <f t="shared" si="2"/>
        <v>4240.5573543365963</v>
      </c>
      <c r="G7" s="628">
        <f>'ANNEXE 1 Grille'!B5*$H$31*60/100</f>
        <v>3908.0061867266591</v>
      </c>
      <c r="H7" s="555">
        <f t="shared" si="3"/>
        <v>332.55116760993741</v>
      </c>
    </row>
    <row r="8" spans="1:10" x14ac:dyDescent="0.25">
      <c r="A8" s="344" t="s">
        <v>21</v>
      </c>
      <c r="B8" s="553">
        <f t="shared" si="0"/>
        <v>2895.7726103954219</v>
      </c>
      <c r="C8" s="554">
        <f>'ANNEXE 1 Grille'!B6*($D$31-$C$25-$C$24)</f>
        <v>2462.8657649860361</v>
      </c>
      <c r="D8" s="555">
        <f t="shared" si="1"/>
        <v>432.9068454093856</v>
      </c>
      <c r="E8" s="627"/>
      <c r="F8" s="553">
        <f t="shared" si="2"/>
        <v>2224.4798688946653</v>
      </c>
      <c r="G8" s="628">
        <f>'ANNEXE 1 Grille'!B6*$H$31*60/100</f>
        <v>1891.928701284728</v>
      </c>
      <c r="H8" s="555">
        <f t="shared" si="3"/>
        <v>332.55116760993741</v>
      </c>
    </row>
    <row r="9" spans="1:10" x14ac:dyDescent="0.25">
      <c r="A9" s="344" t="s">
        <v>22</v>
      </c>
      <c r="B9" s="553">
        <f t="shared" si="0"/>
        <v>573.51011369283094</v>
      </c>
      <c r="C9" s="554">
        <f>'ANNEXE 1 Grille'!B7*($D$31-$C$25-$C$24)</f>
        <v>140.60326828344537</v>
      </c>
      <c r="D9" s="555">
        <f t="shared" si="1"/>
        <v>432.9068454093856</v>
      </c>
      <c r="E9" s="627"/>
      <c r="F9" s="553">
        <f t="shared" si="2"/>
        <v>440.56004188222045</v>
      </c>
      <c r="G9" s="628">
        <f>'ANNEXE 1 Grille'!B7*$H$31*60/100</f>
        <v>108.00887427228305</v>
      </c>
      <c r="H9" s="555">
        <f t="shared" si="3"/>
        <v>332.55116760993741</v>
      </c>
    </row>
    <row r="10" spans="1:10" x14ac:dyDescent="0.25">
      <c r="A10" s="344" t="s">
        <v>23</v>
      </c>
      <c r="B10" s="553">
        <f t="shared" si="0"/>
        <v>0</v>
      </c>
      <c r="C10" s="554"/>
      <c r="D10" s="555">
        <f t="shared" si="1"/>
        <v>0</v>
      </c>
      <c r="E10" s="627"/>
      <c r="F10" s="553">
        <f t="shared" si="2"/>
        <v>0</v>
      </c>
      <c r="G10" s="628"/>
      <c r="H10" s="555">
        <f t="shared" si="3"/>
        <v>0</v>
      </c>
    </row>
    <row r="11" spans="1:10" x14ac:dyDescent="0.25">
      <c r="A11" s="344" t="s">
        <v>24</v>
      </c>
      <c r="B11" s="553">
        <f t="shared" si="0"/>
        <v>0</v>
      </c>
      <c r="C11" s="554"/>
      <c r="D11" s="555">
        <f t="shared" si="1"/>
        <v>0</v>
      </c>
      <c r="E11" s="627"/>
      <c r="F11" s="553">
        <f t="shared" si="2"/>
        <v>0</v>
      </c>
      <c r="G11" s="628"/>
      <c r="H11" s="555">
        <f t="shared" si="3"/>
        <v>0</v>
      </c>
    </row>
    <row r="12" spans="1:10" x14ac:dyDescent="0.25">
      <c r="A12" s="344" t="s">
        <v>25</v>
      </c>
      <c r="B12" s="553">
        <f t="shared" si="0"/>
        <v>5239.5882449139008</v>
      </c>
      <c r="C12" s="554">
        <f>'ANNEXE 1 Grille'!B10*($D$31-$C$25-$C$24)</f>
        <v>4806.681399504515</v>
      </c>
      <c r="D12" s="555">
        <f t="shared" si="1"/>
        <v>432.9068454093856</v>
      </c>
      <c r="E12" s="627"/>
      <c r="F12" s="553">
        <f t="shared" si="2"/>
        <v>4024.9564245020424</v>
      </c>
      <c r="G12" s="628">
        <f>'ANNEXE 1 Grille'!B10*$H$31*60/100</f>
        <v>3692.4052568921052</v>
      </c>
      <c r="H12" s="555">
        <f t="shared" si="3"/>
        <v>332.55116760993741</v>
      </c>
    </row>
    <row r="13" spans="1:10" x14ac:dyDescent="0.25">
      <c r="A13" s="344" t="s">
        <v>26</v>
      </c>
      <c r="B13" s="553">
        <f t="shared" si="0"/>
        <v>2949.6141126724087</v>
      </c>
      <c r="C13" s="554">
        <f>'ANNEXE 1 Grille'!B11*($D$31-$C$25-$C$24)</f>
        <v>2516.7072672630229</v>
      </c>
      <c r="D13" s="555">
        <f t="shared" si="1"/>
        <v>432.9068454093856</v>
      </c>
      <c r="E13" s="627"/>
      <c r="F13" s="553">
        <f t="shared" si="2"/>
        <v>2265.8399320074418</v>
      </c>
      <c r="G13" s="628">
        <f>'ANNEXE 1 Grille'!B11*$H$31*60/100</f>
        <v>1933.2887643975043</v>
      </c>
      <c r="H13" s="555">
        <f t="shared" si="3"/>
        <v>332.55116760993741</v>
      </c>
    </row>
    <row r="14" spans="1:10" x14ac:dyDescent="0.25">
      <c r="A14" s="344" t="s">
        <v>27</v>
      </c>
      <c r="B14" s="553">
        <f t="shared" si="0"/>
        <v>2615.3705886037042</v>
      </c>
      <c r="C14" s="554">
        <f>'ANNEXE 1 Grille'!B12*($D$31-$C$25-$C$24)</f>
        <v>2182.4637431943188</v>
      </c>
      <c r="D14" s="555">
        <f t="shared" si="1"/>
        <v>432.9068454093856</v>
      </c>
      <c r="E14" s="627"/>
      <c r="F14" s="553">
        <f t="shared" si="2"/>
        <v>2009.0801339728464</v>
      </c>
      <c r="G14" s="628">
        <f>'ANNEXE 1 Grille'!B12*$H$31*60/100</f>
        <v>1676.5289663629089</v>
      </c>
      <c r="H14" s="555">
        <f t="shared" si="3"/>
        <v>332.55116760993741</v>
      </c>
    </row>
    <row r="15" spans="1:10" x14ac:dyDescent="0.25">
      <c r="A15" s="344" t="s">
        <v>28</v>
      </c>
      <c r="B15" s="553">
        <f t="shared" si="0"/>
        <v>0</v>
      </c>
      <c r="C15" s="554"/>
      <c r="D15" s="555">
        <f t="shared" si="1"/>
        <v>0</v>
      </c>
      <c r="E15" s="627"/>
      <c r="F15" s="553">
        <f t="shared" si="2"/>
        <v>0</v>
      </c>
      <c r="G15" s="628"/>
      <c r="H15" s="555">
        <f t="shared" si="3"/>
        <v>0</v>
      </c>
    </row>
    <row r="16" spans="1:10" x14ac:dyDescent="0.25">
      <c r="A16" s="344" t="s">
        <v>29</v>
      </c>
      <c r="B16" s="553">
        <f t="shared" si="0"/>
        <v>1715.0812010651068</v>
      </c>
      <c r="C16" s="554">
        <f>'ANNEXE 1 Grille'!B14*($D$31-$C$25-$C$24)</f>
        <v>1282.1743556557212</v>
      </c>
      <c r="D16" s="555">
        <f t="shared" si="1"/>
        <v>432.9068454093856</v>
      </c>
      <c r="E16" s="627"/>
      <c r="F16" s="553">
        <f t="shared" si="2"/>
        <v>1317.4941953636508</v>
      </c>
      <c r="G16" s="628">
        <f>'ANNEXE 1 Grille'!B14*$H$31*60/100</f>
        <v>984.94302775371341</v>
      </c>
      <c r="H16" s="555">
        <f t="shared" si="3"/>
        <v>332.55116760993741</v>
      </c>
    </row>
    <row r="17" spans="1:18" x14ac:dyDescent="0.25">
      <c r="A17" s="344" t="s">
        <v>30</v>
      </c>
      <c r="B17" s="553">
        <f t="shared" si="0"/>
        <v>3183.6512156292838</v>
      </c>
      <c r="C17" s="554">
        <f>'ANNEXE 1 Grille'!B15*($D$31-$C$25-$C$24)</f>
        <v>2750.7443702198984</v>
      </c>
      <c r="D17" s="555">
        <f t="shared" si="1"/>
        <v>432.9068454093856</v>
      </c>
      <c r="E17" s="627"/>
      <c r="F17" s="553">
        <f t="shared" si="2"/>
        <v>2445.6229792788595</v>
      </c>
      <c r="G17" s="628">
        <f>'ANNEXE 1 Grille'!B15*$H$31*60/100</f>
        <v>2113.0718116689222</v>
      </c>
      <c r="H17" s="555">
        <f t="shared" si="3"/>
        <v>332.55116760993741</v>
      </c>
    </row>
    <row r="18" spans="1:18" x14ac:dyDescent="0.25">
      <c r="A18" s="344" t="s">
        <v>31</v>
      </c>
      <c r="B18" s="553">
        <f t="shared" si="0"/>
        <v>1003.5120847451266</v>
      </c>
      <c r="C18" s="554">
        <f>'ANNEXE 1 Grille'!B16*($D$31-$C$25-$C$24)</f>
        <v>570.60523933574098</v>
      </c>
      <c r="D18" s="555">
        <f t="shared" si="1"/>
        <v>432.9068454093856</v>
      </c>
      <c r="E18" s="627"/>
      <c r="F18" s="553">
        <f t="shared" si="2"/>
        <v>770.87973782693859</v>
      </c>
      <c r="G18" s="628">
        <f>'ANNEXE 1 Grille'!B16*$H$31*60/100</f>
        <v>438.32857021700119</v>
      </c>
      <c r="H18" s="555">
        <f t="shared" si="3"/>
        <v>332.55116760993741</v>
      </c>
    </row>
    <row r="19" spans="1:18" x14ac:dyDescent="0.25">
      <c r="A19" s="344" t="s">
        <v>32</v>
      </c>
      <c r="B19" s="553">
        <f t="shared" si="0"/>
        <v>1446.9539263533352</v>
      </c>
      <c r="C19" s="554">
        <f>'ANNEXE 1 Grille'!B17*($D$31-$C$25-$C$24)</f>
        <v>1014.0470809439495</v>
      </c>
      <c r="D19" s="555">
        <f t="shared" si="1"/>
        <v>432.9068454093856</v>
      </c>
      <c r="E19" s="627"/>
      <c r="F19" s="553">
        <f t="shared" si="2"/>
        <v>1111.5236979714259</v>
      </c>
      <c r="G19" s="628">
        <f>'ANNEXE 1 Grille'!B17*$H$31*60/100</f>
        <v>778.97253036148857</v>
      </c>
      <c r="H19" s="555">
        <f t="shared" si="3"/>
        <v>332.55116760993741</v>
      </c>
      <c r="I19" s="330"/>
    </row>
    <row r="20" spans="1:18" x14ac:dyDescent="0.25">
      <c r="A20" s="344" t="s">
        <v>33</v>
      </c>
      <c r="B20" s="553">
        <f t="shared" si="0"/>
        <v>0</v>
      </c>
      <c r="C20" s="554"/>
      <c r="D20" s="555">
        <f t="shared" si="1"/>
        <v>0</v>
      </c>
      <c r="E20" s="627"/>
      <c r="F20" s="553">
        <f t="shared" si="2"/>
        <v>0</v>
      </c>
      <c r="G20" s="628"/>
      <c r="H20" s="555">
        <f t="shared" si="3"/>
        <v>0</v>
      </c>
    </row>
    <row r="21" spans="1:18" x14ac:dyDescent="0.25">
      <c r="A21" s="344" t="s">
        <v>34</v>
      </c>
      <c r="B21" s="553">
        <f t="shared" si="0"/>
        <v>0</v>
      </c>
      <c r="C21" s="554"/>
      <c r="D21" s="555">
        <f t="shared" si="1"/>
        <v>0</v>
      </c>
      <c r="E21" s="627"/>
      <c r="F21" s="553">
        <f t="shared" si="2"/>
        <v>0</v>
      </c>
      <c r="G21" s="628"/>
      <c r="H21" s="555">
        <f t="shared" si="3"/>
        <v>0</v>
      </c>
    </row>
    <row r="22" spans="1:18" x14ac:dyDescent="0.25">
      <c r="A22" s="344" t="s">
        <v>35</v>
      </c>
      <c r="B22" s="553">
        <f t="shared" si="0"/>
        <v>4079.0615614365297</v>
      </c>
      <c r="C22" s="554">
        <f>'ANNEXE 1 Grille'!B20*($D$31-$C$25-$C$24)</f>
        <v>3646.1547160271439</v>
      </c>
      <c r="D22" s="555">
        <f t="shared" si="1"/>
        <v>432.9068454093856</v>
      </c>
      <c r="E22" s="627"/>
      <c r="F22" s="553">
        <f t="shared" si="2"/>
        <v>3133.4609267398801</v>
      </c>
      <c r="G22" s="628">
        <f>'ANNEXE 1 Grille'!B20*$H$31*60/100</f>
        <v>2800.9097591299428</v>
      </c>
      <c r="H22" s="555">
        <f t="shared" si="3"/>
        <v>332.55116760993741</v>
      </c>
    </row>
    <row r="23" spans="1:18" x14ac:dyDescent="0.25">
      <c r="A23" s="344" t="s">
        <v>36</v>
      </c>
      <c r="B23" s="553">
        <f t="shared" si="0"/>
        <v>0</v>
      </c>
      <c r="C23" s="554"/>
      <c r="D23" s="555">
        <f>IF(C23&lt;&gt;0,#REF!/D$27,C23)</f>
        <v>0</v>
      </c>
      <c r="E23" s="627"/>
      <c r="F23" s="553">
        <f t="shared" si="2"/>
        <v>0</v>
      </c>
      <c r="G23" s="628"/>
      <c r="H23" s="555">
        <f t="shared" si="3"/>
        <v>0</v>
      </c>
    </row>
    <row r="24" spans="1:18" x14ac:dyDescent="0.25">
      <c r="A24" s="344" t="s">
        <v>38</v>
      </c>
      <c r="B24" s="553">
        <f t="shared" si="0"/>
        <v>0</v>
      </c>
      <c r="C24" s="554">
        <v>0</v>
      </c>
      <c r="D24" s="555"/>
      <c r="E24" s="627"/>
      <c r="F24" s="553">
        <f t="shared" si="2"/>
        <v>0</v>
      </c>
      <c r="G24" s="628"/>
      <c r="H24" s="630"/>
    </row>
    <row r="25" spans="1:18" x14ac:dyDescent="0.25">
      <c r="A25" s="344" t="s">
        <v>4</v>
      </c>
      <c r="B25" s="574">
        <f t="shared" si="0"/>
        <v>22610.423697037866</v>
      </c>
      <c r="C25" s="554">
        <f>D31*40/100</f>
        <v>22610.423697037866</v>
      </c>
      <c r="D25" s="630"/>
      <c r="E25" s="631"/>
      <c r="F25" s="574">
        <f t="shared" si="2"/>
        <v>17368.916385451819</v>
      </c>
      <c r="G25" s="628">
        <f>H31*40/100</f>
        <v>17368.916385451819</v>
      </c>
      <c r="H25" s="630"/>
    </row>
    <row r="26" spans="1:18" ht="45" x14ac:dyDescent="0.25">
      <c r="A26" s="364" t="s">
        <v>158</v>
      </c>
      <c r="B26" s="632">
        <f>SUM(B4:B25)</f>
        <v>56526.059242594667</v>
      </c>
      <c r="C26" s="632">
        <f>SUM(C4:C25)</f>
        <v>50898.270252272647</v>
      </c>
      <c r="D26" s="633">
        <f>SUM(D4:D25)</f>
        <v>5627.7889903220148</v>
      </c>
      <c r="E26" s="634"/>
      <c r="F26" s="540">
        <f>SUM(F4:F25)</f>
        <v>43422.290963629544</v>
      </c>
      <c r="G26" s="575">
        <f>SUM(G4:G25)</f>
        <v>39099.125784700358</v>
      </c>
      <c r="H26" s="557">
        <f>SUM(H4:H25)</f>
        <v>4323.1651789291855</v>
      </c>
    </row>
    <row r="27" spans="1:18" s="331" customFormat="1" ht="14.25" customHeight="1" x14ac:dyDescent="0.2">
      <c r="A27" s="369" t="s">
        <v>39</v>
      </c>
      <c r="B27" s="635">
        <f>D31</f>
        <v>56526.059242594667</v>
      </c>
      <c r="C27" s="636"/>
      <c r="D27" s="637">
        <f>(D31-C25-C24)-SUM(C4:C23)</f>
        <v>5627.788990322013</v>
      </c>
      <c r="E27" s="638"/>
      <c r="F27" s="639"/>
      <c r="G27" s="639"/>
      <c r="H27" s="640">
        <f>(H31-G25-G24)-SUM(G4:G23)</f>
        <v>4323.1651789291864</v>
      </c>
    </row>
    <row r="28" spans="1:18" x14ac:dyDescent="0.25">
      <c r="A28" s="380"/>
      <c r="B28" s="373"/>
      <c r="C28" s="373"/>
      <c r="D28" s="373"/>
      <c r="F28" s="373"/>
      <c r="G28" s="373"/>
      <c r="H28" s="373"/>
      <c r="I28" s="251"/>
      <c r="J28" s="251"/>
      <c r="L28" s="251"/>
      <c r="M28" s="251"/>
      <c r="N28" s="251"/>
      <c r="O28" s="251"/>
      <c r="P28" s="251"/>
      <c r="R28" s="251"/>
    </row>
    <row r="29" spans="1:18" ht="15" customHeight="1" x14ac:dyDescent="0.25">
      <c r="B29" s="802" t="s">
        <v>254</v>
      </c>
      <c r="C29" s="802"/>
      <c r="D29" s="641">
        <f>SUBTOTAL(3,C4:C23)</f>
        <v>13</v>
      </c>
      <c r="F29" s="802" t="s">
        <v>254</v>
      </c>
      <c r="G29" s="802"/>
      <c r="H29" s="641">
        <f>SUBTOTAL(3,G4:G24)</f>
        <v>13</v>
      </c>
    </row>
    <row r="30" spans="1:18" ht="15" customHeight="1" x14ac:dyDescent="0.25">
      <c r="B30" s="752" t="s">
        <v>208</v>
      </c>
      <c r="C30" s="752"/>
      <c r="D30" s="752"/>
      <c r="F30" s="752" t="s">
        <v>208</v>
      </c>
      <c r="G30" s="752"/>
      <c r="H30" s="752"/>
    </row>
    <row r="31" spans="1:18" ht="15" customHeight="1" x14ac:dyDescent="0.25">
      <c r="B31" s="800" t="s">
        <v>399</v>
      </c>
      <c r="C31" s="800"/>
      <c r="D31" s="368">
        <f>D33*D35</f>
        <v>56526.059242594667</v>
      </c>
      <c r="F31" s="800" t="s">
        <v>399</v>
      </c>
      <c r="G31" s="800"/>
      <c r="H31" s="367">
        <f>H33*H35</f>
        <v>43422.290963629544</v>
      </c>
    </row>
    <row r="32" spans="1:18" ht="15" customHeight="1" x14ac:dyDescent="0.25">
      <c r="B32" s="800" t="s">
        <v>401</v>
      </c>
      <c r="C32" s="800"/>
      <c r="D32" s="368">
        <f>D31*1.2</f>
        <v>67831.271091113595</v>
      </c>
      <c r="F32" s="800" t="s">
        <v>401</v>
      </c>
      <c r="G32" s="800"/>
      <c r="H32" s="367">
        <f>H31*1.2</f>
        <v>52106.74915635545</v>
      </c>
    </row>
    <row r="33" spans="2:8" ht="15" customHeight="1" x14ac:dyDescent="0.25">
      <c r="B33" s="800" t="s">
        <v>210</v>
      </c>
      <c r="C33" s="800"/>
      <c r="D33" s="368">
        <v>55000</v>
      </c>
      <c r="F33" s="800" t="s">
        <v>210</v>
      </c>
      <c r="G33" s="800"/>
      <c r="H33" s="367">
        <v>42250</v>
      </c>
    </row>
    <row r="34" spans="2:8" ht="15" customHeight="1" x14ac:dyDescent="0.25">
      <c r="B34" s="800" t="s">
        <v>211</v>
      </c>
      <c r="C34" s="800"/>
      <c r="D34" s="368">
        <f>D33*1.2</f>
        <v>66000</v>
      </c>
      <c r="F34" s="800" t="s">
        <v>211</v>
      </c>
      <c r="G34" s="800"/>
      <c r="H34" s="367">
        <f>H33*1.2</f>
        <v>50700</v>
      </c>
    </row>
    <row r="35" spans="2:8" ht="15" customHeight="1" x14ac:dyDescent="0.25">
      <c r="B35" s="776" t="s">
        <v>255</v>
      </c>
      <c r="C35" s="776"/>
      <c r="D35" s="622">
        <f>2741/2667</f>
        <v>1.0277465316835395</v>
      </c>
      <c r="F35" s="800" t="s">
        <v>255</v>
      </c>
      <c r="G35" s="800"/>
      <c r="H35" s="642">
        <f>2741/2667</f>
        <v>1.0277465316835395</v>
      </c>
    </row>
  </sheetData>
  <mergeCells count="19">
    <mergeCell ref="A1:A3"/>
    <mergeCell ref="B1:D1"/>
    <mergeCell ref="F1:H1"/>
    <mergeCell ref="B2:D2"/>
    <mergeCell ref="F2:H2"/>
    <mergeCell ref="B29:C29"/>
    <mergeCell ref="F29:G29"/>
    <mergeCell ref="B30:D30"/>
    <mergeCell ref="F30:H30"/>
    <mergeCell ref="B31:C31"/>
    <mergeCell ref="F31:G31"/>
    <mergeCell ref="B35:C35"/>
    <mergeCell ref="F35:G35"/>
    <mergeCell ref="B32:C32"/>
    <mergeCell ref="F32:G32"/>
    <mergeCell ref="B33:C33"/>
    <mergeCell ref="F33:G33"/>
    <mergeCell ref="B34:C34"/>
    <mergeCell ref="F34:G3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R31"/>
  <sheetViews>
    <sheetView workbookViewId="0">
      <selection activeCell="I32" sqref="I32"/>
    </sheetView>
  </sheetViews>
  <sheetFormatPr baseColWidth="10" defaultColWidth="9.140625" defaultRowHeight="15" x14ac:dyDescent="0.25"/>
  <cols>
    <col min="1" max="1" width="13" style="334" customWidth="1"/>
    <col min="2" max="2" width="10.42578125" style="334" customWidth="1"/>
    <col min="3" max="3" width="9.42578125" style="334" customWidth="1"/>
    <col min="4" max="5" width="6.85546875" style="334" hidden="1" customWidth="1"/>
    <col min="6" max="6" width="14" style="334" customWidth="1"/>
    <col min="7" max="7" width="10" style="334" hidden="1" customWidth="1"/>
    <col min="8" max="8" width="8.85546875" style="334" hidden="1" customWidth="1"/>
    <col min="9" max="9" width="13" style="334" customWidth="1"/>
    <col min="10" max="10" width="9.85546875" style="334" hidden="1" customWidth="1"/>
    <col min="11" max="11" width="13.5703125" style="334" hidden="1" customWidth="1"/>
    <col min="12" max="12" width="9.85546875" style="334" bestFit="1" customWidth="1"/>
    <col min="13" max="14" width="5.42578125" style="334" hidden="1" customWidth="1"/>
    <col min="15" max="15" width="10.42578125" style="334" bestFit="1" customWidth="1"/>
    <col min="16" max="17" width="6.85546875" style="334" hidden="1" customWidth="1"/>
    <col min="18" max="16384" width="9.140625" style="334"/>
  </cols>
  <sheetData>
    <row r="1" spans="1:18" ht="15" customHeight="1" x14ac:dyDescent="0.25">
      <c r="A1" s="547" t="s">
        <v>52</v>
      </c>
      <c r="B1" s="643"/>
      <c r="C1" s="805" t="s">
        <v>57</v>
      </c>
      <c r="D1" s="805"/>
      <c r="E1" s="805"/>
      <c r="F1" s="805" t="s">
        <v>347</v>
      </c>
      <c r="G1" s="805"/>
      <c r="H1" s="805"/>
      <c r="I1" s="805" t="s">
        <v>56</v>
      </c>
      <c r="J1" s="805"/>
      <c r="K1" s="805"/>
      <c r="L1" s="805" t="s">
        <v>59</v>
      </c>
      <c r="M1" s="805"/>
      <c r="N1" s="805"/>
      <c r="O1" s="794" t="s">
        <v>60</v>
      </c>
      <c r="P1" s="794"/>
      <c r="Q1" s="794"/>
    </row>
    <row r="2" spans="1:18" hidden="1" x14ac:dyDescent="0.25">
      <c r="A2" s="344" t="s">
        <v>17</v>
      </c>
      <c r="B2" s="644">
        <f t="shared" ref="B2:B24" si="0">C2+F2+I2+L2+O2</f>
        <v>0</v>
      </c>
      <c r="C2" s="645">
        <f t="shared" ref="C2:C23" si="1">D2+E2</f>
        <v>0</v>
      </c>
      <c r="D2" s="646"/>
      <c r="E2" s="645">
        <f>IF(D2&lt;&gt;0,E$26/#REF!,D2)</f>
        <v>0</v>
      </c>
      <c r="F2" s="645">
        <f t="shared" ref="F2:F23" si="2">G2+H2</f>
        <v>0</v>
      </c>
      <c r="G2" s="646"/>
      <c r="H2" s="645">
        <f>IF(G2&lt;&gt;0,H$26/#REF!,G2)</f>
        <v>0</v>
      </c>
      <c r="I2" s="645">
        <f t="shared" ref="I2:I23" si="3">J2+K2</f>
        <v>0</v>
      </c>
      <c r="J2" s="646"/>
      <c r="K2" s="645">
        <f>IF(J2&lt;&gt;0,K$26/#REF!,J2)</f>
        <v>0</v>
      </c>
      <c r="L2" s="645">
        <f t="shared" ref="L2:L23" si="4">M2+N2</f>
        <v>0</v>
      </c>
      <c r="M2" s="646"/>
      <c r="N2" s="645">
        <f>IF(M2&lt;&gt;0,N$26/#REF!,M2)</f>
        <v>0</v>
      </c>
      <c r="O2" s="645">
        <f t="shared" ref="O2:O23" si="5">P2+Q2</f>
        <v>0</v>
      </c>
      <c r="P2" s="646"/>
      <c r="Q2" s="645">
        <f>IF(P2&lt;&gt;0,Q$26/#REF!,P2)</f>
        <v>0</v>
      </c>
    </row>
    <row r="3" spans="1:18" hidden="1" x14ac:dyDescent="0.25">
      <c r="A3" s="344" t="s">
        <v>18</v>
      </c>
      <c r="B3" s="644">
        <f t="shared" si="0"/>
        <v>0</v>
      </c>
      <c r="C3" s="645">
        <f t="shared" si="1"/>
        <v>0</v>
      </c>
      <c r="D3" s="646"/>
      <c r="E3" s="645">
        <f>IF(D3&lt;&gt;0,E$26/#REF!,D3)</f>
        <v>0</v>
      </c>
      <c r="F3" s="645">
        <f t="shared" si="2"/>
        <v>0</v>
      </c>
      <c r="G3" s="646"/>
      <c r="H3" s="645">
        <f>IF(G3&lt;&gt;0,H$26/#REF!,G3)</f>
        <v>0</v>
      </c>
      <c r="I3" s="645">
        <f t="shared" si="3"/>
        <v>0</v>
      </c>
      <c r="J3" s="646"/>
      <c r="K3" s="645">
        <f>IF(J3&lt;&gt;0,K$26/#REF!,J3)</f>
        <v>0</v>
      </c>
      <c r="L3" s="645">
        <f t="shared" si="4"/>
        <v>0</v>
      </c>
      <c r="M3" s="646"/>
      <c r="N3" s="645">
        <f>IF(M3&lt;&gt;0,N$26/#REF!,M3)</f>
        <v>0</v>
      </c>
      <c r="O3" s="645">
        <f t="shared" si="5"/>
        <v>0</v>
      </c>
      <c r="P3" s="646"/>
      <c r="Q3" s="645">
        <f>IF(P3&lt;&gt;0,Q$26/#REF!,P3)</f>
        <v>0</v>
      </c>
    </row>
    <row r="4" spans="1:18" hidden="1" x14ac:dyDescent="0.25">
      <c r="A4" s="344" t="s">
        <v>144</v>
      </c>
      <c r="B4" s="644">
        <f t="shared" si="0"/>
        <v>0</v>
      </c>
      <c r="C4" s="645">
        <f t="shared" si="1"/>
        <v>0</v>
      </c>
      <c r="D4" s="646"/>
      <c r="E4" s="645">
        <f>IF(D4&lt;&gt;0,E$26/#REF!,D4)</f>
        <v>0</v>
      </c>
      <c r="F4" s="645">
        <f t="shared" si="2"/>
        <v>0</v>
      </c>
      <c r="G4" s="646"/>
      <c r="H4" s="645">
        <f>IF(G4&lt;&gt;0,H$26/#REF!,G4)</f>
        <v>0</v>
      </c>
      <c r="I4" s="645">
        <f t="shared" si="3"/>
        <v>0</v>
      </c>
      <c r="J4" s="646"/>
      <c r="K4" s="645">
        <f>IF(J4&lt;&gt;0,K$26/#REF!,J4)</f>
        <v>0</v>
      </c>
      <c r="L4" s="645">
        <f t="shared" si="4"/>
        <v>0</v>
      </c>
      <c r="M4" s="646"/>
      <c r="N4" s="645">
        <f>IF(M4&lt;&gt;0,N$26/#REF!,M4)</f>
        <v>0</v>
      </c>
      <c r="O4" s="645">
        <f t="shared" si="5"/>
        <v>0</v>
      </c>
      <c r="P4" s="646"/>
      <c r="Q4" s="645">
        <f>IF(P4&lt;&gt;0,Q$26/#REF!,P4)</f>
        <v>0</v>
      </c>
    </row>
    <row r="5" spans="1:18" x14ac:dyDescent="0.25">
      <c r="A5" s="344" t="s">
        <v>20</v>
      </c>
      <c r="B5" s="540">
        <f t="shared" si="0"/>
        <v>1899.1945938056529</v>
      </c>
      <c r="C5" s="555">
        <f t="shared" si="1"/>
        <v>1805.1824603177768</v>
      </c>
      <c r="D5" s="646">
        <f>'ANNEXE 1 Grille'!B5*(D$26-D$23)</f>
        <v>1410</v>
      </c>
      <c r="E5" s="555">
        <f t="shared" ref="E5:E21" si="6">IF(D5&lt;&gt;0,E$26/D$28,D5)</f>
        <v>395.18246031777676</v>
      </c>
      <c r="F5" s="555">
        <f t="shared" si="2"/>
        <v>0</v>
      </c>
      <c r="G5" s="555"/>
      <c r="H5" s="555">
        <f t="shared" ref="H5:H21" si="7">IF(G5&lt;&gt;0,H$26/G$28,G5)</f>
        <v>0</v>
      </c>
      <c r="I5" s="555">
        <f t="shared" si="3"/>
        <v>0</v>
      </c>
      <c r="J5" s="555"/>
      <c r="K5" s="555">
        <f t="shared" ref="K5:K21" si="8">IF(J5&lt;&gt;0,K$26/J$28,J5)</f>
        <v>0</v>
      </c>
      <c r="L5" s="555">
        <f t="shared" si="4"/>
        <v>94.012133487876156</v>
      </c>
      <c r="M5" s="555">
        <f>'ANNEXE 1 Grille'!B5*(M$26-M$23)</f>
        <v>67.5</v>
      </c>
      <c r="N5" s="555">
        <f t="shared" ref="N5:N21" si="9">IF(M5&lt;&gt;0,N$26/M$28,M5)</f>
        <v>26.512133487876149</v>
      </c>
      <c r="O5" s="555">
        <f t="shared" si="5"/>
        <v>0</v>
      </c>
      <c r="P5" s="555"/>
      <c r="Q5" s="555">
        <f t="shared" ref="Q5:Q21" si="10">IF(P5&lt;&gt;0,Q$26/P$28,P5)</f>
        <v>0</v>
      </c>
      <c r="R5" s="339"/>
    </row>
    <row r="6" spans="1:18" x14ac:dyDescent="0.25">
      <c r="A6" s="344" t="s">
        <v>21</v>
      </c>
      <c r="B6" s="540">
        <f t="shared" si="0"/>
        <v>2121.326357119307</v>
      </c>
      <c r="C6" s="555">
        <f t="shared" si="1"/>
        <v>1077.7861567683858</v>
      </c>
      <c r="D6" s="646">
        <f>'ANNEXE 1 Grille'!B6*(D$26-D$23)</f>
        <v>682.60369645060905</v>
      </c>
      <c r="E6" s="555">
        <f t="shared" si="6"/>
        <v>395.18246031777676</v>
      </c>
      <c r="F6" s="555">
        <f t="shared" si="2"/>
        <v>199.62309049261916</v>
      </c>
      <c r="G6" s="555">
        <f>'ANNEXE 1 Grille'!B6*(G$26-G$23)</f>
        <v>87.14089741922669</v>
      </c>
      <c r="H6" s="555">
        <f t="shared" si="7"/>
        <v>112.48219307339245</v>
      </c>
      <c r="I6" s="555">
        <f t="shared" si="3"/>
        <v>24.952886311577394</v>
      </c>
      <c r="J6" s="555">
        <f>'ANNEXE 1 Grille'!B6*(J$26-J$23)</f>
        <v>10.892612177403336</v>
      </c>
      <c r="K6" s="555">
        <f t="shared" si="8"/>
        <v>14.060274134174056</v>
      </c>
      <c r="L6" s="555">
        <f t="shared" si="4"/>
        <v>59.189970020086157</v>
      </c>
      <c r="M6" s="555">
        <f>'ANNEXE 1 Grille'!B6*(M$26-M$23)</f>
        <v>32.677836532210009</v>
      </c>
      <c r="N6" s="555">
        <f t="shared" si="9"/>
        <v>26.512133487876149</v>
      </c>
      <c r="O6" s="555">
        <f t="shared" si="5"/>
        <v>759.77425352663829</v>
      </c>
      <c r="P6" s="555">
        <f>'ANNEXE 1 Grille'!B6*(P$26-P$23)</f>
        <v>275.94617516088454</v>
      </c>
      <c r="Q6" s="555">
        <f t="shared" si="10"/>
        <v>483.82807836575375</v>
      </c>
      <c r="R6" s="339"/>
    </row>
    <row r="7" spans="1:18" x14ac:dyDescent="0.25">
      <c r="A7" s="344" t="s">
        <v>22</v>
      </c>
      <c r="B7" s="540">
        <f t="shared" si="0"/>
        <v>434.1518235806019</v>
      </c>
      <c r="C7" s="555">
        <f t="shared" si="1"/>
        <v>434.1518235806019</v>
      </c>
      <c r="D7" s="646">
        <f>'ANNEXE 1 Grille'!B7*(D$26-D$23)</f>
        <v>38.969363262825112</v>
      </c>
      <c r="E7" s="555">
        <f t="shared" si="6"/>
        <v>395.18246031777676</v>
      </c>
      <c r="F7" s="555">
        <f t="shared" si="2"/>
        <v>0</v>
      </c>
      <c r="G7" s="555"/>
      <c r="H7" s="555">
        <f t="shared" si="7"/>
        <v>0</v>
      </c>
      <c r="I7" s="555">
        <f t="shared" si="3"/>
        <v>0</v>
      </c>
      <c r="J7" s="555"/>
      <c r="K7" s="555">
        <f t="shared" si="8"/>
        <v>0</v>
      </c>
      <c r="L7" s="555">
        <f t="shared" si="4"/>
        <v>0</v>
      </c>
      <c r="M7" s="555"/>
      <c r="N7" s="555">
        <f t="shared" si="9"/>
        <v>0</v>
      </c>
      <c r="O7" s="555">
        <f t="shared" si="5"/>
        <v>0</v>
      </c>
      <c r="P7" s="555"/>
      <c r="Q7" s="555">
        <f t="shared" si="10"/>
        <v>0</v>
      </c>
      <c r="R7" s="339"/>
    </row>
    <row r="8" spans="1:18" hidden="1" x14ac:dyDescent="0.25">
      <c r="A8" s="344" t="s">
        <v>23</v>
      </c>
      <c r="B8" s="540">
        <f t="shared" si="0"/>
        <v>0</v>
      </c>
      <c r="C8" s="555">
        <f t="shared" si="1"/>
        <v>0</v>
      </c>
      <c r="D8" s="646"/>
      <c r="E8" s="555">
        <f t="shared" si="6"/>
        <v>0</v>
      </c>
      <c r="F8" s="555">
        <f t="shared" si="2"/>
        <v>0</v>
      </c>
      <c r="G8" s="555"/>
      <c r="H8" s="555">
        <f t="shared" si="7"/>
        <v>0</v>
      </c>
      <c r="I8" s="555">
        <f t="shared" si="3"/>
        <v>0</v>
      </c>
      <c r="J8" s="555"/>
      <c r="K8" s="555">
        <f t="shared" si="8"/>
        <v>0</v>
      </c>
      <c r="L8" s="555">
        <f t="shared" si="4"/>
        <v>0</v>
      </c>
      <c r="M8" s="555"/>
      <c r="N8" s="555">
        <f t="shared" si="9"/>
        <v>0</v>
      </c>
      <c r="O8" s="555">
        <f t="shared" si="5"/>
        <v>0</v>
      </c>
      <c r="P8" s="555"/>
      <c r="Q8" s="555">
        <f t="shared" si="10"/>
        <v>0</v>
      </c>
      <c r="R8" s="339"/>
    </row>
    <row r="9" spans="1:18" hidden="1" x14ac:dyDescent="0.25">
      <c r="A9" s="344" t="s">
        <v>24</v>
      </c>
      <c r="B9" s="540">
        <f t="shared" si="0"/>
        <v>0</v>
      </c>
      <c r="C9" s="555">
        <f t="shared" si="1"/>
        <v>0</v>
      </c>
      <c r="D9" s="646"/>
      <c r="E9" s="555">
        <f t="shared" si="6"/>
        <v>0</v>
      </c>
      <c r="F9" s="555">
        <f t="shared" si="2"/>
        <v>0</v>
      </c>
      <c r="G9" s="555"/>
      <c r="H9" s="555">
        <f t="shared" si="7"/>
        <v>0</v>
      </c>
      <c r="I9" s="555">
        <f t="shared" si="3"/>
        <v>0</v>
      </c>
      <c r="J9" s="555"/>
      <c r="K9" s="555">
        <f t="shared" si="8"/>
        <v>0</v>
      </c>
      <c r="L9" s="555">
        <f t="shared" si="4"/>
        <v>0</v>
      </c>
      <c r="M9" s="555"/>
      <c r="N9" s="555">
        <f t="shared" si="9"/>
        <v>0</v>
      </c>
      <c r="O9" s="555">
        <f t="shared" si="5"/>
        <v>0</v>
      </c>
      <c r="P9" s="555"/>
      <c r="Q9" s="555">
        <f t="shared" si="10"/>
        <v>0</v>
      </c>
      <c r="R9" s="339"/>
    </row>
    <row r="10" spans="1:18" hidden="1" x14ac:dyDescent="0.25">
      <c r="A10" s="344" t="s">
        <v>25</v>
      </c>
      <c r="B10" s="540">
        <f t="shared" si="0"/>
        <v>0</v>
      </c>
      <c r="C10" s="555">
        <f t="shared" si="1"/>
        <v>0</v>
      </c>
      <c r="D10" s="646"/>
      <c r="E10" s="555">
        <f t="shared" si="6"/>
        <v>0</v>
      </c>
      <c r="F10" s="555">
        <f t="shared" si="2"/>
        <v>0</v>
      </c>
      <c r="G10" s="555"/>
      <c r="H10" s="555">
        <f t="shared" si="7"/>
        <v>0</v>
      </c>
      <c r="I10" s="555">
        <f t="shared" si="3"/>
        <v>0</v>
      </c>
      <c r="J10" s="555"/>
      <c r="K10" s="555">
        <f t="shared" si="8"/>
        <v>0</v>
      </c>
      <c r="L10" s="555">
        <f t="shared" si="4"/>
        <v>0</v>
      </c>
      <c r="M10" s="555"/>
      <c r="N10" s="555">
        <f t="shared" si="9"/>
        <v>0</v>
      </c>
      <c r="O10" s="555">
        <f t="shared" si="5"/>
        <v>0</v>
      </c>
      <c r="P10" s="555"/>
      <c r="Q10" s="555">
        <f t="shared" si="10"/>
        <v>0</v>
      </c>
      <c r="R10" s="339"/>
    </row>
    <row r="11" spans="1:18" x14ac:dyDescent="0.25">
      <c r="A11" s="344" t="s">
        <v>26</v>
      </c>
      <c r="B11" s="540">
        <f t="shared" si="0"/>
        <v>1379.3322458722446</v>
      </c>
      <c r="C11" s="555">
        <f t="shared" si="1"/>
        <v>1092.7087761816015</v>
      </c>
      <c r="D11" s="646">
        <f>'ANNEXE 1 Grille'!B11*(D$26-D$23)</f>
        <v>697.52631586382483</v>
      </c>
      <c r="E11" s="555">
        <f t="shared" si="6"/>
        <v>395.18246031777676</v>
      </c>
      <c r="F11" s="555">
        <f t="shared" si="2"/>
        <v>201.52810573685946</v>
      </c>
      <c r="G11" s="555">
        <f>'ANNEXE 1 Grille'!B11*(G$26-G$23)</f>
        <v>89.045912663467007</v>
      </c>
      <c r="H11" s="555">
        <f t="shared" si="7"/>
        <v>112.48219307339245</v>
      </c>
      <c r="I11" s="555">
        <f t="shared" si="3"/>
        <v>25.191013217107432</v>
      </c>
      <c r="J11" s="555">
        <f>'ANNEXE 1 Grille'!B11*(J$26-J$23)</f>
        <v>11.130739082933376</v>
      </c>
      <c r="K11" s="555">
        <f t="shared" si="8"/>
        <v>14.060274134174056</v>
      </c>
      <c r="L11" s="555">
        <f t="shared" si="4"/>
        <v>59.904350736676278</v>
      </c>
      <c r="M11" s="555">
        <f>'ANNEXE 1 Grille'!B11*(M$26-M$23)</f>
        <v>33.392217248800129</v>
      </c>
      <c r="N11" s="555">
        <f t="shared" si="9"/>
        <v>26.512133487876149</v>
      </c>
      <c r="O11" s="555">
        <f t="shared" si="5"/>
        <v>0</v>
      </c>
      <c r="P11" s="555"/>
      <c r="Q11" s="555">
        <f t="shared" si="10"/>
        <v>0</v>
      </c>
      <c r="R11" s="339"/>
    </row>
    <row r="12" spans="1:18" x14ac:dyDescent="0.25">
      <c r="A12" s="344" t="s">
        <v>27</v>
      </c>
      <c r="B12" s="540">
        <f t="shared" si="0"/>
        <v>1997.3118647113417</v>
      </c>
      <c r="C12" s="555">
        <f t="shared" si="1"/>
        <v>1000.0704081927278</v>
      </c>
      <c r="D12" s="646">
        <f>'ANNEXE 1 Grille'!B12*(D$26-D$23)</f>
        <v>604.88794787495101</v>
      </c>
      <c r="E12" s="555">
        <f t="shared" si="6"/>
        <v>395.18246031777676</v>
      </c>
      <c r="F12" s="555">
        <f t="shared" si="2"/>
        <v>189.70193109998195</v>
      </c>
      <c r="G12" s="555">
        <f>'ANNEXE 1 Grille'!B12*(G$26-G$23)</f>
        <v>77.219738026589496</v>
      </c>
      <c r="H12" s="555">
        <f t="shared" si="7"/>
        <v>112.48219307339245</v>
      </c>
      <c r="I12" s="555">
        <f t="shared" si="3"/>
        <v>23.712741387497744</v>
      </c>
      <c r="J12" s="555">
        <f>'ANNEXE 1 Grille'!B12*(J$26-J$23)</f>
        <v>9.652467253323687</v>
      </c>
      <c r="K12" s="555">
        <f t="shared" si="8"/>
        <v>14.060274134174056</v>
      </c>
      <c r="L12" s="555">
        <f t="shared" si="4"/>
        <v>55.469535247847205</v>
      </c>
      <c r="M12" s="555">
        <f>'ANNEXE 1 Grille'!B12*(M$26-M$23)</f>
        <v>28.957401759971059</v>
      </c>
      <c r="N12" s="555">
        <f t="shared" si="9"/>
        <v>26.512133487876149</v>
      </c>
      <c r="O12" s="555">
        <f t="shared" si="5"/>
        <v>728.3572487832871</v>
      </c>
      <c r="P12" s="555">
        <f>'ANNEXE 1 Grille'!B12*(P$26-P$23)</f>
        <v>244.52917041753338</v>
      </c>
      <c r="Q12" s="555">
        <f t="shared" si="10"/>
        <v>483.82807836575375</v>
      </c>
      <c r="R12" s="339"/>
    </row>
    <row r="13" spans="1:18" hidden="1" x14ac:dyDescent="0.25">
      <c r="A13" s="344" t="s">
        <v>28</v>
      </c>
      <c r="B13" s="540">
        <f t="shared" si="0"/>
        <v>0</v>
      </c>
      <c r="C13" s="555">
        <f t="shared" si="1"/>
        <v>0</v>
      </c>
      <c r="D13" s="646"/>
      <c r="E13" s="555">
        <f t="shared" si="6"/>
        <v>0</v>
      </c>
      <c r="F13" s="555">
        <f t="shared" si="2"/>
        <v>0</v>
      </c>
      <c r="G13" s="555"/>
      <c r="H13" s="555">
        <f t="shared" si="7"/>
        <v>0</v>
      </c>
      <c r="I13" s="555">
        <f t="shared" si="3"/>
        <v>0</v>
      </c>
      <c r="J13" s="555"/>
      <c r="K13" s="555">
        <f t="shared" si="8"/>
        <v>0</v>
      </c>
      <c r="L13" s="555">
        <f t="shared" si="4"/>
        <v>0</v>
      </c>
      <c r="M13" s="555"/>
      <c r="N13" s="555">
        <f t="shared" si="9"/>
        <v>0</v>
      </c>
      <c r="O13" s="555">
        <f t="shared" si="5"/>
        <v>0</v>
      </c>
      <c r="P13" s="555"/>
      <c r="Q13" s="555">
        <f t="shared" si="10"/>
        <v>0</v>
      </c>
      <c r="R13" s="339"/>
    </row>
    <row r="14" spans="1:18" x14ac:dyDescent="0.25">
      <c r="A14" s="344" t="s">
        <v>29</v>
      </c>
      <c r="B14" s="540">
        <f t="shared" si="0"/>
        <v>1599.1373768725571</v>
      </c>
      <c r="C14" s="555">
        <f t="shared" si="1"/>
        <v>750.54772914708929</v>
      </c>
      <c r="D14" s="646">
        <f>'ANNEXE 1 Grille'!B14*(D$26-D$23)</f>
        <v>355.36526882931253</v>
      </c>
      <c r="E14" s="555">
        <f t="shared" si="6"/>
        <v>395.18246031777676</v>
      </c>
      <c r="F14" s="555">
        <f t="shared" si="2"/>
        <v>157.84797207287914</v>
      </c>
      <c r="G14" s="555">
        <f>'ANNEXE 1 Grille'!B14*(G$26-G$23)</f>
        <v>45.365778999486707</v>
      </c>
      <c r="H14" s="555">
        <f t="shared" si="7"/>
        <v>112.48219307339245</v>
      </c>
      <c r="I14" s="555">
        <f t="shared" si="3"/>
        <v>19.730996509109893</v>
      </c>
      <c r="J14" s="555">
        <f>'ANNEXE 1 Grille'!B14*(J$26-J$23)</f>
        <v>5.6707223749358384</v>
      </c>
      <c r="K14" s="555">
        <f t="shared" si="8"/>
        <v>14.060274134174056</v>
      </c>
      <c r="L14" s="555">
        <f t="shared" si="4"/>
        <v>43.52430061268366</v>
      </c>
      <c r="M14" s="555">
        <f>'ANNEXE 1 Grille'!B14*(M$26-M$23)</f>
        <v>17.012167124807515</v>
      </c>
      <c r="N14" s="555">
        <f t="shared" si="9"/>
        <v>26.512133487876149</v>
      </c>
      <c r="O14" s="555">
        <f t="shared" si="5"/>
        <v>627.48637853079504</v>
      </c>
      <c r="P14" s="555">
        <f>'ANNEXE 1 Grille'!B14*(P$26-P$23)</f>
        <v>143.65830016504125</v>
      </c>
      <c r="Q14" s="555">
        <f t="shared" si="10"/>
        <v>483.82807836575375</v>
      </c>
      <c r="R14" s="339"/>
    </row>
    <row r="15" spans="1:18" x14ac:dyDescent="0.25">
      <c r="A15" s="344" t="s">
        <v>30</v>
      </c>
      <c r="B15" s="540">
        <f t="shared" si="0"/>
        <v>2248.6475471559079</v>
      </c>
      <c r="C15" s="555">
        <f t="shared" si="1"/>
        <v>1157.5741025246557</v>
      </c>
      <c r="D15" s="646">
        <f>'ANNEXE 1 Grille'!B15*(D$26-D$23)</f>
        <v>762.39164220687894</v>
      </c>
      <c r="E15" s="555">
        <f t="shared" si="6"/>
        <v>395.18246031777676</v>
      </c>
      <c r="F15" s="555">
        <f t="shared" si="2"/>
        <v>209.80878569554721</v>
      </c>
      <c r="G15" s="555">
        <f>'ANNEXE 1 Grille'!B15*(G$26-G$23)</f>
        <v>97.326592622154763</v>
      </c>
      <c r="H15" s="555">
        <f t="shared" si="7"/>
        <v>112.48219307339245</v>
      </c>
      <c r="I15" s="555">
        <f t="shared" si="3"/>
        <v>26.226098211943402</v>
      </c>
      <c r="J15" s="555">
        <f>'ANNEXE 1 Grille'!B15*(J$26-J$23)</f>
        <v>12.165824077769345</v>
      </c>
      <c r="K15" s="555">
        <f t="shared" si="8"/>
        <v>14.060274134174056</v>
      </c>
      <c r="L15" s="555">
        <f t="shared" si="4"/>
        <v>63.009605721184187</v>
      </c>
      <c r="M15" s="555">
        <f>'ANNEXE 1 Grille'!B15*(M$26-M$23)</f>
        <v>36.497472233308038</v>
      </c>
      <c r="N15" s="555">
        <f t="shared" si="9"/>
        <v>26.512133487876149</v>
      </c>
      <c r="O15" s="555">
        <f t="shared" si="5"/>
        <v>792.02895500257716</v>
      </c>
      <c r="P15" s="555">
        <f>'ANNEXE 1 Grille'!B15*(P$26-P$23)</f>
        <v>308.20087663682341</v>
      </c>
      <c r="Q15" s="555">
        <f t="shared" si="10"/>
        <v>483.82807836575375</v>
      </c>
      <c r="R15" s="339"/>
    </row>
    <row r="16" spans="1:18" x14ac:dyDescent="0.25">
      <c r="A16" s="344" t="s">
        <v>31</v>
      </c>
      <c r="B16" s="540">
        <f t="shared" si="0"/>
        <v>0</v>
      </c>
      <c r="C16" s="555">
        <f t="shared" si="1"/>
        <v>0</v>
      </c>
      <c r="D16" s="646"/>
      <c r="E16" s="555"/>
      <c r="F16" s="555">
        <f t="shared" si="2"/>
        <v>0</v>
      </c>
      <c r="G16" s="555"/>
      <c r="H16" s="555">
        <f t="shared" si="7"/>
        <v>0</v>
      </c>
      <c r="I16" s="555">
        <f t="shared" si="3"/>
        <v>0</v>
      </c>
      <c r="J16" s="555"/>
      <c r="K16" s="555">
        <f t="shared" si="8"/>
        <v>0</v>
      </c>
      <c r="L16" s="555">
        <f t="shared" si="4"/>
        <v>0</v>
      </c>
      <c r="M16" s="555"/>
      <c r="N16" s="555">
        <f t="shared" si="9"/>
        <v>0</v>
      </c>
      <c r="O16" s="555">
        <f t="shared" si="5"/>
        <v>0</v>
      </c>
      <c r="P16" s="555"/>
      <c r="Q16" s="555">
        <f t="shared" si="10"/>
        <v>0</v>
      </c>
      <c r="R16" s="339"/>
    </row>
    <row r="17" spans="1:18" x14ac:dyDescent="0.25">
      <c r="A17" s="344" t="s">
        <v>32</v>
      </c>
      <c r="B17" s="540">
        <f t="shared" si="0"/>
        <v>676.23402864440641</v>
      </c>
      <c r="C17" s="555">
        <f t="shared" si="1"/>
        <v>676.23402864440641</v>
      </c>
      <c r="D17" s="646">
        <f>'ANNEXE 1 Grille'!B17*(D$26-D$23)</f>
        <v>281.05156832662965</v>
      </c>
      <c r="E17" s="555">
        <f t="shared" si="6"/>
        <v>395.18246031777676</v>
      </c>
      <c r="F17" s="555">
        <f t="shared" si="2"/>
        <v>0</v>
      </c>
      <c r="G17" s="555"/>
      <c r="H17" s="555">
        <f t="shared" si="7"/>
        <v>0</v>
      </c>
      <c r="I17" s="555">
        <f t="shared" si="3"/>
        <v>0</v>
      </c>
      <c r="J17" s="555"/>
      <c r="K17" s="555">
        <f t="shared" si="8"/>
        <v>0</v>
      </c>
      <c r="L17" s="555">
        <f t="shared" si="4"/>
        <v>0</v>
      </c>
      <c r="M17" s="555"/>
      <c r="N17" s="555">
        <f t="shared" si="9"/>
        <v>0</v>
      </c>
      <c r="O17" s="555">
        <f t="shared" si="5"/>
        <v>0</v>
      </c>
      <c r="P17" s="555"/>
      <c r="Q17" s="555">
        <f t="shared" si="10"/>
        <v>0</v>
      </c>
      <c r="R17" s="339"/>
    </row>
    <row r="18" spans="1:18" hidden="1" x14ac:dyDescent="0.25">
      <c r="A18" s="344" t="s">
        <v>33</v>
      </c>
      <c r="B18" s="540">
        <f t="shared" si="0"/>
        <v>0</v>
      </c>
      <c r="C18" s="555">
        <f t="shared" si="1"/>
        <v>0</v>
      </c>
      <c r="D18" s="646"/>
      <c r="E18" s="555">
        <f t="shared" si="6"/>
        <v>0</v>
      </c>
      <c r="F18" s="555">
        <f t="shared" si="2"/>
        <v>0</v>
      </c>
      <c r="G18" s="555"/>
      <c r="H18" s="555">
        <f t="shared" si="7"/>
        <v>0</v>
      </c>
      <c r="I18" s="555">
        <f t="shared" si="3"/>
        <v>0</v>
      </c>
      <c r="J18" s="555"/>
      <c r="K18" s="555">
        <f t="shared" si="8"/>
        <v>0</v>
      </c>
      <c r="L18" s="555">
        <f t="shared" si="4"/>
        <v>0</v>
      </c>
      <c r="M18" s="555"/>
      <c r="N18" s="555">
        <f t="shared" si="9"/>
        <v>0</v>
      </c>
      <c r="O18" s="555">
        <f t="shared" si="5"/>
        <v>0</v>
      </c>
      <c r="P18" s="555"/>
      <c r="Q18" s="555">
        <f t="shared" si="10"/>
        <v>0</v>
      </c>
      <c r="R18" s="339"/>
    </row>
    <row r="19" spans="1:18" hidden="1" x14ac:dyDescent="0.25">
      <c r="A19" s="344" t="s">
        <v>34</v>
      </c>
      <c r="B19" s="540">
        <f t="shared" si="0"/>
        <v>0</v>
      </c>
      <c r="C19" s="555">
        <f t="shared" si="1"/>
        <v>0</v>
      </c>
      <c r="D19" s="646"/>
      <c r="E19" s="555">
        <f t="shared" si="6"/>
        <v>0</v>
      </c>
      <c r="F19" s="555">
        <f t="shared" si="2"/>
        <v>0</v>
      </c>
      <c r="G19" s="555"/>
      <c r="H19" s="555">
        <f t="shared" si="7"/>
        <v>0</v>
      </c>
      <c r="I19" s="555">
        <f t="shared" si="3"/>
        <v>0</v>
      </c>
      <c r="J19" s="555"/>
      <c r="K19" s="555">
        <f t="shared" si="8"/>
        <v>0</v>
      </c>
      <c r="L19" s="555">
        <f t="shared" si="4"/>
        <v>0</v>
      </c>
      <c r="M19" s="555"/>
      <c r="N19" s="555">
        <f t="shared" si="9"/>
        <v>0</v>
      </c>
      <c r="O19" s="555">
        <f t="shared" si="5"/>
        <v>0</v>
      </c>
      <c r="P19" s="555"/>
      <c r="Q19" s="555">
        <f t="shared" si="10"/>
        <v>0</v>
      </c>
      <c r="R19" s="339"/>
    </row>
    <row r="20" spans="1:18" x14ac:dyDescent="0.25">
      <c r="A20" s="344" t="s">
        <v>35</v>
      </c>
      <c r="B20" s="540">
        <f t="shared" si="0"/>
        <v>2644.6641622379821</v>
      </c>
      <c r="C20" s="555">
        <f t="shared" si="1"/>
        <v>1405.7445146427556</v>
      </c>
      <c r="D20" s="646">
        <f>'ANNEXE 1 Grille'!B20*(D$26-D$23)</f>
        <v>1010.5620543249788</v>
      </c>
      <c r="E20" s="555">
        <f t="shared" si="6"/>
        <v>395.18246031777676</v>
      </c>
      <c r="F20" s="555">
        <f t="shared" si="2"/>
        <v>241.49011490211313</v>
      </c>
      <c r="G20" s="555">
        <f>'ANNEXE 1 Grille'!B20*(G$26-G$23)</f>
        <v>129.0079218287207</v>
      </c>
      <c r="H20" s="555">
        <f t="shared" si="7"/>
        <v>112.48219307339245</v>
      </c>
      <c r="I20" s="555">
        <f t="shared" si="3"/>
        <v>30.186264362764142</v>
      </c>
      <c r="J20" s="555">
        <f>'ANNEXE 1 Grille'!B20*(J$26-J$23)</f>
        <v>16.125990228590087</v>
      </c>
      <c r="K20" s="555">
        <f t="shared" si="8"/>
        <v>14.060274134174056</v>
      </c>
      <c r="L20" s="555">
        <f t="shared" si="4"/>
        <v>74.890104173646421</v>
      </c>
      <c r="M20" s="555">
        <f>'ANNEXE 1 Grille'!B20*(M$26-M$23)</f>
        <v>48.377970685770265</v>
      </c>
      <c r="N20" s="555">
        <f t="shared" si="9"/>
        <v>26.512133487876149</v>
      </c>
      <c r="O20" s="555">
        <f t="shared" si="5"/>
        <v>892.35316415670263</v>
      </c>
      <c r="P20" s="555">
        <f>'ANNEXE 1 Grille'!B20*(P$26-P$23)</f>
        <v>408.52508579094888</v>
      </c>
      <c r="Q20" s="555">
        <f t="shared" si="10"/>
        <v>483.82807836575375</v>
      </c>
      <c r="R20" s="339"/>
    </row>
    <row r="21" spans="1:18" ht="17.25" hidden="1" customHeight="1" x14ac:dyDescent="0.25">
      <c r="A21" s="344" t="s">
        <v>53</v>
      </c>
      <c r="B21" s="540">
        <f t="shared" si="0"/>
        <v>0</v>
      </c>
      <c r="C21" s="555">
        <f t="shared" si="1"/>
        <v>0</v>
      </c>
      <c r="D21" s="646"/>
      <c r="E21" s="555">
        <f t="shared" si="6"/>
        <v>0</v>
      </c>
      <c r="F21" s="555">
        <f t="shared" si="2"/>
        <v>0</v>
      </c>
      <c r="G21" s="555"/>
      <c r="H21" s="555">
        <f t="shared" si="7"/>
        <v>0</v>
      </c>
      <c r="I21" s="555">
        <f t="shared" si="3"/>
        <v>0</v>
      </c>
      <c r="J21" s="555"/>
      <c r="K21" s="555">
        <f t="shared" si="8"/>
        <v>0</v>
      </c>
      <c r="L21" s="555">
        <f t="shared" si="4"/>
        <v>0</v>
      </c>
      <c r="M21" s="555"/>
      <c r="N21" s="555">
        <f t="shared" si="9"/>
        <v>0</v>
      </c>
      <c r="O21" s="555">
        <f t="shared" si="5"/>
        <v>0</v>
      </c>
      <c r="P21" s="555"/>
      <c r="Q21" s="555">
        <f t="shared" si="10"/>
        <v>0</v>
      </c>
    </row>
    <row r="22" spans="1:18" hidden="1" x14ac:dyDescent="0.25">
      <c r="A22" s="344" t="s">
        <v>54</v>
      </c>
      <c r="B22" s="540">
        <f t="shared" si="0"/>
        <v>0</v>
      </c>
      <c r="C22" s="555">
        <f t="shared" si="1"/>
        <v>0</v>
      </c>
      <c r="D22" s="646"/>
      <c r="E22" s="555">
        <f>IF(D22&lt;&gt;0,E$26/#REF!,D22)</f>
        <v>0</v>
      </c>
      <c r="F22" s="555">
        <f t="shared" si="2"/>
        <v>0</v>
      </c>
      <c r="G22" s="555"/>
      <c r="H22" s="555">
        <f>IF(G22&lt;&gt;0,H$26/#REF!,G22)</f>
        <v>0</v>
      </c>
      <c r="I22" s="555">
        <f t="shared" si="3"/>
        <v>0</v>
      </c>
      <c r="J22" s="555"/>
      <c r="K22" s="555">
        <f>IF(J22&lt;&gt;0,K$26/#REF!,J22)</f>
        <v>0</v>
      </c>
      <c r="L22" s="555">
        <f t="shared" si="4"/>
        <v>0</v>
      </c>
      <c r="M22" s="555"/>
      <c r="N22" s="555">
        <f>IF(M22&lt;&gt;0,N$26/#REF!,M22)</f>
        <v>0</v>
      </c>
      <c r="O22" s="555">
        <f t="shared" si="5"/>
        <v>0</v>
      </c>
      <c r="P22" s="555"/>
      <c r="Q22" s="555">
        <f>IF(P22&lt;&gt;0,Q$26/#REF!,P22)</f>
        <v>0</v>
      </c>
    </row>
    <row r="23" spans="1:18" hidden="1" x14ac:dyDescent="0.25">
      <c r="A23" s="344" t="s">
        <v>38</v>
      </c>
      <c r="B23" s="540">
        <f t="shared" si="0"/>
        <v>0</v>
      </c>
      <c r="C23" s="555">
        <f t="shared" si="1"/>
        <v>0</v>
      </c>
      <c r="D23" s="647"/>
      <c r="E23" s="630"/>
      <c r="F23" s="555">
        <f t="shared" si="2"/>
        <v>0</v>
      </c>
      <c r="G23" s="630"/>
      <c r="H23" s="630"/>
      <c r="I23" s="555">
        <f t="shared" si="3"/>
        <v>0</v>
      </c>
      <c r="J23" s="630"/>
      <c r="K23" s="630"/>
      <c r="L23" s="555">
        <f t="shared" si="4"/>
        <v>0</v>
      </c>
      <c r="M23" s="630"/>
      <c r="N23" s="630"/>
      <c r="O23" s="555">
        <f t="shared" si="5"/>
        <v>0</v>
      </c>
      <c r="P23" s="630"/>
      <c r="Q23" s="630"/>
    </row>
    <row r="24" spans="1:18" hidden="1" x14ac:dyDescent="0.25">
      <c r="A24" s="344" t="s">
        <v>4</v>
      </c>
      <c r="B24" s="540">
        <f t="shared" si="0"/>
        <v>0</v>
      </c>
      <c r="C24" s="555"/>
      <c r="D24" s="647"/>
      <c r="E24" s="630"/>
      <c r="F24" s="555"/>
      <c r="G24" s="630"/>
      <c r="H24" s="630"/>
      <c r="I24" s="555"/>
      <c r="J24" s="630"/>
      <c r="K24" s="630"/>
      <c r="L24" s="555"/>
      <c r="M24" s="630"/>
      <c r="N24" s="630"/>
      <c r="O24" s="555"/>
      <c r="P24" s="630"/>
      <c r="Q24" s="630"/>
    </row>
    <row r="25" spans="1:18" ht="30.75" customHeight="1" x14ac:dyDescent="0.25">
      <c r="A25" s="149" t="s">
        <v>49</v>
      </c>
      <c r="B25" s="540">
        <f>C25+F25+I25+L25+O25</f>
        <v>15000.000000000002</v>
      </c>
      <c r="C25" s="648">
        <f>SUM(C2:C24)</f>
        <v>9400.0000000000018</v>
      </c>
      <c r="D25" s="649">
        <f>SUM(D26:D26)</f>
        <v>9400</v>
      </c>
      <c r="E25" s="648"/>
      <c r="F25" s="648">
        <f>SUM(F2:F24)</f>
        <v>1200</v>
      </c>
      <c r="G25" s="648">
        <f>SUM(G26:G26)</f>
        <v>1200</v>
      </c>
      <c r="H25" s="648"/>
      <c r="I25" s="648">
        <f>SUM(I2:I24)</f>
        <v>150</v>
      </c>
      <c r="J25" s="648">
        <f>SUM(J26:J26)</f>
        <v>150</v>
      </c>
      <c r="K25" s="648"/>
      <c r="L25" s="648">
        <f>SUM(L2:L24)</f>
        <v>450.00000000000006</v>
      </c>
      <c r="M25" s="648">
        <f>SUM(M26:M26)</f>
        <v>450</v>
      </c>
      <c r="N25" s="648"/>
      <c r="O25" s="648">
        <f>SUM(O2:O24)</f>
        <v>3800</v>
      </c>
      <c r="P25" s="648">
        <f>SUM(P26:P26)</f>
        <v>3800</v>
      </c>
      <c r="Q25" s="648"/>
    </row>
    <row r="26" spans="1:18" ht="15.75" customHeight="1" x14ac:dyDescent="0.25">
      <c r="A26" s="650" t="s">
        <v>348</v>
      </c>
      <c r="B26" s="149"/>
      <c r="C26" s="617"/>
      <c r="D26" s="651">
        <v>9400</v>
      </c>
      <c r="E26" s="557">
        <f>D26-SUM(D2:D24)</f>
        <v>3556.6421428599906</v>
      </c>
      <c r="F26" s="557"/>
      <c r="G26" s="557">
        <v>1200</v>
      </c>
      <c r="H26" s="557">
        <f>G26-SUM(G2:G24)</f>
        <v>674.89315844035468</v>
      </c>
      <c r="I26" s="557"/>
      <c r="J26" s="557">
        <v>150</v>
      </c>
      <c r="K26" s="557">
        <f>J26-SUM(J2:J24)</f>
        <v>84.361644805044335</v>
      </c>
      <c r="L26" s="557"/>
      <c r="M26" s="557">
        <v>450</v>
      </c>
      <c r="N26" s="557">
        <f>M26-SUM(M2:M24)</f>
        <v>185.58493441513303</v>
      </c>
      <c r="O26" s="557"/>
      <c r="P26" s="557">
        <v>3800</v>
      </c>
      <c r="Q26" s="557">
        <f>P26-SUM(P2:P24)</f>
        <v>2419.1403918287688</v>
      </c>
    </row>
    <row r="27" spans="1:18" s="655" customFormat="1" ht="12" x14ac:dyDescent="0.2">
      <c r="A27" s="652" t="s">
        <v>39</v>
      </c>
      <c r="B27" s="653"/>
      <c r="C27" s="654"/>
      <c r="D27" s="654">
        <f>SUM(D2:E24)</f>
        <v>9400</v>
      </c>
      <c r="E27" s="654"/>
      <c r="F27" s="654"/>
      <c r="G27" s="654">
        <f>SUM(G2:H24)</f>
        <v>1200</v>
      </c>
      <c r="H27" s="654"/>
      <c r="I27" s="654"/>
      <c r="J27" s="654">
        <f>SUM(J2:K24)</f>
        <v>150</v>
      </c>
      <c r="K27" s="654"/>
      <c r="L27" s="654"/>
      <c r="M27" s="654">
        <f>SUM(M2:N24)</f>
        <v>450.00000000000006</v>
      </c>
      <c r="N27" s="654"/>
      <c r="O27" s="654"/>
      <c r="P27" s="654">
        <f>SUM(P2:Q24)</f>
        <v>3800</v>
      </c>
      <c r="Q27" s="654"/>
    </row>
    <row r="28" spans="1:18" x14ac:dyDescent="0.25">
      <c r="A28" s="656"/>
      <c r="B28" s="657"/>
      <c r="C28" s="658"/>
      <c r="D28" s="659">
        <f>COUNTA(D2:D24)</f>
        <v>9</v>
      </c>
      <c r="E28" s="660"/>
      <c r="F28" s="660"/>
      <c r="G28" s="659">
        <f>COUNTA(G2:G24)</f>
        <v>6</v>
      </c>
      <c r="H28" s="660"/>
      <c r="I28" s="660"/>
      <c r="J28" s="659">
        <f>COUNTA(J2:J24)</f>
        <v>6</v>
      </c>
      <c r="K28" s="660"/>
      <c r="L28" s="660"/>
      <c r="M28" s="659">
        <f>COUNTA(M2:M24)</f>
        <v>7</v>
      </c>
      <c r="N28" s="660"/>
      <c r="O28" s="660"/>
      <c r="P28" s="659">
        <f>COUNTA(P2:P24)</f>
        <v>5</v>
      </c>
      <c r="Q28" s="660"/>
    </row>
    <row r="31" spans="1:18" x14ac:dyDescent="0.25">
      <c r="A31" s="334" t="s">
        <v>349</v>
      </c>
    </row>
  </sheetData>
  <mergeCells count="5">
    <mergeCell ref="C1:E1"/>
    <mergeCell ref="F1:H1"/>
    <mergeCell ref="I1:K1"/>
    <mergeCell ref="L1:N1"/>
    <mergeCell ref="O1:Q1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0" scale="0" firstPageNumber="0" orientation="portrait" usePrinterDefaults="0" horizontalDpi="0" verticalDpi="0" copies="0"/>
  <headerFooter>
    <oddHeader>&amp;C&amp;F</oddHeader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28"/>
  <sheetViews>
    <sheetView topLeftCell="A13" workbookViewId="0">
      <selection activeCell="P29" sqref="P29"/>
    </sheetView>
  </sheetViews>
  <sheetFormatPr baseColWidth="10" defaultColWidth="9.140625" defaultRowHeight="15" x14ac:dyDescent="0.25"/>
  <cols>
    <col min="1" max="1" width="26.140625" style="334" customWidth="1"/>
    <col min="2" max="2" width="0" style="334" hidden="1"/>
    <col min="3" max="3" width="0" style="681" hidden="1"/>
    <col min="4" max="4" width="1" style="681" hidden="1" customWidth="1"/>
    <col min="5" max="5" width="9.140625" style="373"/>
    <col min="6" max="6" width="13.140625" style="681" customWidth="1"/>
    <col min="7" max="7" width="11" style="681" customWidth="1"/>
    <col min="8" max="8" width="11.140625" style="681" customWidth="1"/>
    <col min="9" max="9" width="9.140625" style="373"/>
    <col min="10" max="16384" width="9.140625" style="205"/>
  </cols>
  <sheetData>
    <row r="1" spans="1:9" ht="15" customHeight="1" x14ac:dyDescent="0.25">
      <c r="A1" s="806" t="s">
        <v>52</v>
      </c>
      <c r="B1" s="805" t="s">
        <v>350</v>
      </c>
      <c r="C1" s="805"/>
      <c r="D1" s="805"/>
      <c r="E1" s="669"/>
      <c r="F1" s="794" t="s">
        <v>351</v>
      </c>
      <c r="G1" s="794"/>
      <c r="H1" s="794"/>
      <c r="I1" s="669"/>
    </row>
    <row r="2" spans="1:9" x14ac:dyDescent="0.25">
      <c r="A2" s="806"/>
      <c r="B2" s="755">
        <v>2018</v>
      </c>
      <c r="C2" s="755"/>
      <c r="D2" s="755"/>
      <c r="E2" s="670"/>
      <c r="F2" s="803">
        <v>2020</v>
      </c>
      <c r="G2" s="803"/>
      <c r="H2" s="803"/>
      <c r="I2" s="671"/>
    </row>
    <row r="3" spans="1:9" ht="77.25" customHeight="1" x14ac:dyDescent="0.25">
      <c r="A3" s="806"/>
      <c r="B3" s="672" t="s">
        <v>199</v>
      </c>
      <c r="C3" s="673" t="s">
        <v>200</v>
      </c>
      <c r="D3" s="673" t="s">
        <v>201</v>
      </c>
      <c r="E3" s="672"/>
      <c r="F3" s="672" t="s">
        <v>199</v>
      </c>
      <c r="G3" s="673" t="s">
        <v>200</v>
      </c>
      <c r="H3" s="673" t="s">
        <v>201</v>
      </c>
      <c r="I3" s="672"/>
    </row>
    <row r="4" spans="1:9" ht="15" customHeight="1" x14ac:dyDescent="0.25">
      <c r="A4" s="674" t="s">
        <v>17</v>
      </c>
      <c r="B4" s="645" t="e">
        <f t="shared" ref="B4:B24" si="0">C4+D4</f>
        <v>#REF!</v>
      </c>
      <c r="C4" s="646">
        <f>'ANNEXE 1 Grille'!B2*($C$26-$C$24)</f>
        <v>9801.0700326709593</v>
      </c>
      <c r="D4" s="645" t="e">
        <f t="shared" ref="D4:D23" si="1">IF(C4&lt;&gt;0,$D$26/C$28,C4)</f>
        <v>#REF!</v>
      </c>
      <c r="E4" s="675"/>
      <c r="F4" s="555">
        <f>G4+H4</f>
        <v>2285.8768139577824</v>
      </c>
      <c r="G4" s="630">
        <f>($F$26-$G$25)*'ANNEXE 1 Grille'!B2</f>
        <v>2085.3340495044595</v>
      </c>
      <c r="H4" s="555">
        <f>IF(G4&lt;&gt;0,$H$26/G$28,G4)</f>
        <v>200.54276445332289</v>
      </c>
      <c r="I4" s="675"/>
    </row>
    <row r="5" spans="1:9" ht="15" customHeight="1" x14ac:dyDescent="0.25">
      <c r="A5" s="674" t="s">
        <v>18</v>
      </c>
      <c r="B5" s="645" t="e">
        <f t="shared" si="0"/>
        <v>#REF!</v>
      </c>
      <c r="C5" s="646" t="e">
        <f>'ANNEXE 1 Grille'!#REF!*($C$26-$C$24)</f>
        <v>#REF!</v>
      </c>
      <c r="D5" s="645" t="e">
        <f t="shared" si="1"/>
        <v>#REF!</v>
      </c>
      <c r="E5" s="675"/>
      <c r="F5" s="555">
        <f t="shared" ref="F5:F23" si="2">G5+H5</f>
        <v>1469.9743014147612</v>
      </c>
      <c r="G5" s="630">
        <f>($F$26-$G$25)*'ANNEXE 1 Grille'!B3</f>
        <v>1269.4315369614383</v>
      </c>
      <c r="H5" s="555">
        <f t="shared" ref="H5:H23" si="3">IF(G5&lt;&gt;0,$H$26/G$28,G5)</f>
        <v>200.54276445332289</v>
      </c>
      <c r="I5" s="675"/>
    </row>
    <row r="6" spans="1:9" x14ac:dyDescent="0.25">
      <c r="A6" s="674" t="s">
        <v>19</v>
      </c>
      <c r="B6" s="645" t="e">
        <f t="shared" si="0"/>
        <v>#REF!</v>
      </c>
      <c r="C6" s="646" t="e">
        <f>'ANNEXE 1 Grille'!#REF!*($C$26-$C$24)</f>
        <v>#REF!</v>
      </c>
      <c r="D6" s="645" t="e">
        <f t="shared" si="1"/>
        <v>#REF!</v>
      </c>
      <c r="E6" s="675"/>
      <c r="F6" s="555">
        <f t="shared" si="2"/>
        <v>809.32602779232195</v>
      </c>
      <c r="G6" s="630">
        <f>($F$26-$G$25)*'ANNEXE 1 Grille'!B4</f>
        <v>608.78326333899906</v>
      </c>
      <c r="H6" s="555">
        <f t="shared" si="3"/>
        <v>200.54276445332289</v>
      </c>
      <c r="I6" s="675"/>
    </row>
    <row r="7" spans="1:9" x14ac:dyDescent="0.25">
      <c r="A7" s="674" t="s">
        <v>20</v>
      </c>
      <c r="B7" s="645" t="e">
        <f t="shared" si="0"/>
        <v>#REF!</v>
      </c>
      <c r="C7" s="646" t="e">
        <f>'ANNEXE 1 Grille'!#REF!*($C$26-$C$24)</f>
        <v>#REF!</v>
      </c>
      <c r="D7" s="645" t="e">
        <f t="shared" si="1"/>
        <v>#REF!</v>
      </c>
      <c r="E7" s="675"/>
      <c r="F7" s="555">
        <f t="shared" si="2"/>
        <v>7700.5427644533229</v>
      </c>
      <c r="G7" s="630">
        <f>($F$26-$G$25)*'ANNEXE 1 Grille'!B5</f>
        <v>7500</v>
      </c>
      <c r="H7" s="555">
        <f t="shared" si="3"/>
        <v>200.54276445332289</v>
      </c>
      <c r="I7" s="675"/>
    </row>
    <row r="8" spans="1:9" x14ac:dyDescent="0.25">
      <c r="A8" s="676" t="s">
        <v>21</v>
      </c>
      <c r="B8" s="645" t="e">
        <f t="shared" si="0"/>
        <v>#REF!</v>
      </c>
      <c r="C8" s="646" t="e">
        <f>'ANNEXE 1 Grille'!#REF!*($C$26-$C$24)</f>
        <v>#REF!</v>
      </c>
      <c r="D8" s="645" t="e">
        <f t="shared" si="1"/>
        <v>#REF!</v>
      </c>
      <c r="E8" s="675"/>
      <c r="F8" s="555">
        <f t="shared" si="2"/>
        <v>3831.4134902544351</v>
      </c>
      <c r="G8" s="630">
        <f>($F$26-$G$25)*'ANNEXE 1 Grille'!B6</f>
        <v>3630.8707258011123</v>
      </c>
      <c r="H8" s="555">
        <f t="shared" si="3"/>
        <v>200.54276445332289</v>
      </c>
      <c r="I8" s="675"/>
    </row>
    <row r="9" spans="1:9" x14ac:dyDescent="0.25">
      <c r="A9" s="676" t="s">
        <v>22</v>
      </c>
      <c r="B9" s="645" t="e">
        <f t="shared" si="0"/>
        <v>#REF!</v>
      </c>
      <c r="C9" s="646" t="e">
        <f>'ANNEXE 1 Grille'!#REF!*($C$26-$C$24)</f>
        <v>#REF!</v>
      </c>
      <c r="D9" s="645" t="e">
        <f t="shared" si="1"/>
        <v>#REF!</v>
      </c>
      <c r="E9" s="675"/>
      <c r="F9" s="555">
        <f t="shared" si="2"/>
        <v>407.82661159600968</v>
      </c>
      <c r="G9" s="630">
        <f>($F$26-$G$25)*'ANNEXE 1 Grille'!B7</f>
        <v>207.28384714268677</v>
      </c>
      <c r="H9" s="555">
        <f t="shared" si="3"/>
        <v>200.54276445332289</v>
      </c>
      <c r="I9" s="675"/>
    </row>
    <row r="10" spans="1:9" x14ac:dyDescent="0.25">
      <c r="A10" s="676" t="s">
        <v>23</v>
      </c>
      <c r="B10" s="645" t="e">
        <f t="shared" si="0"/>
        <v>#REF!</v>
      </c>
      <c r="C10" s="646" t="e">
        <f>'ANNEXE 1 Grille'!#REF!*($C$26-$C$24)</f>
        <v>#REF!</v>
      </c>
      <c r="D10" s="645" t="e">
        <f t="shared" si="1"/>
        <v>#REF!</v>
      </c>
      <c r="E10" s="675"/>
      <c r="F10" s="555">
        <f t="shared" si="2"/>
        <v>1304.9166342304704</v>
      </c>
      <c r="G10" s="630">
        <f>($F$26-$G$25)*'ANNEXE 1 Grille'!B8</f>
        <v>1104.3738697771475</v>
      </c>
      <c r="H10" s="555">
        <f t="shared" si="3"/>
        <v>200.54276445332289</v>
      </c>
      <c r="I10" s="675"/>
    </row>
    <row r="11" spans="1:9" x14ac:dyDescent="0.25">
      <c r="A11" s="676" t="s">
        <v>24</v>
      </c>
      <c r="B11" s="645" t="e">
        <f t="shared" si="0"/>
        <v>#REF!</v>
      </c>
      <c r="C11" s="646" t="e">
        <f>'ANNEXE 1 Grille'!#REF!*($C$26-$C$24)</f>
        <v>#REF!</v>
      </c>
      <c r="D11" s="645" t="e">
        <f t="shared" si="1"/>
        <v>#REF!</v>
      </c>
      <c r="E11" s="675"/>
      <c r="F11" s="555">
        <f t="shared" si="2"/>
        <v>606.53653916612791</v>
      </c>
      <c r="G11" s="630">
        <f>($F$26-$G$25)*'ANNEXE 1 Grille'!B9</f>
        <v>405.99377471280502</v>
      </c>
      <c r="H11" s="555">
        <f t="shared" si="3"/>
        <v>200.54276445332289</v>
      </c>
      <c r="I11" s="675"/>
    </row>
    <row r="12" spans="1:9" x14ac:dyDescent="0.25">
      <c r="A12" s="676" t="s">
        <v>25</v>
      </c>
      <c r="B12" s="645" t="e">
        <f t="shared" si="0"/>
        <v>#REF!</v>
      </c>
      <c r="C12" s="646" t="e">
        <f>'ANNEXE 1 Grille'!#REF!*($C$26-$C$24)</f>
        <v>#REF!</v>
      </c>
      <c r="D12" s="645" t="e">
        <f t="shared" si="1"/>
        <v>#REF!</v>
      </c>
      <c r="E12" s="675"/>
      <c r="F12" s="555">
        <f t="shared" si="2"/>
        <v>7286.775002454574</v>
      </c>
      <c r="G12" s="630">
        <f>($F$26-$G$25)*'ANNEXE 1 Grille'!B10</f>
        <v>7086.2322380012511</v>
      </c>
      <c r="H12" s="555">
        <f t="shared" si="3"/>
        <v>200.54276445332289</v>
      </c>
      <c r="I12" s="675"/>
    </row>
    <row r="13" spans="1:9" x14ac:dyDescent="0.25">
      <c r="A13" s="674" t="s">
        <v>26</v>
      </c>
      <c r="B13" s="645" t="e">
        <f t="shared" si="0"/>
        <v>#REF!</v>
      </c>
      <c r="C13" s="646" t="e">
        <f>'ANNEXE 1 Grille'!#REF!*($C$26-$C$24)</f>
        <v>#REF!</v>
      </c>
      <c r="D13" s="645" t="e">
        <f t="shared" si="1"/>
        <v>#REF!</v>
      </c>
      <c r="E13" s="675"/>
      <c r="F13" s="555">
        <f t="shared" si="2"/>
        <v>3910.7891254311148</v>
      </c>
      <c r="G13" s="630">
        <f>($F$26-$G$25)*'ANNEXE 1 Grille'!B11</f>
        <v>3710.2463609777919</v>
      </c>
      <c r="H13" s="555">
        <f t="shared" si="3"/>
        <v>200.54276445332289</v>
      </c>
      <c r="I13" s="675"/>
    </row>
    <row r="14" spans="1:9" x14ac:dyDescent="0.25">
      <c r="A14" s="676" t="s">
        <v>27</v>
      </c>
      <c r="B14" s="645" t="e">
        <f t="shared" si="0"/>
        <v>#REF!</v>
      </c>
      <c r="C14" s="646" t="e">
        <f>'ANNEXE 1 Grille'!#REF!*($C$26-$C$24)</f>
        <v>#REF!</v>
      </c>
      <c r="D14" s="645" t="e">
        <f t="shared" si="1"/>
        <v>#REF!</v>
      </c>
      <c r="E14" s="675"/>
      <c r="F14" s="555">
        <f t="shared" si="2"/>
        <v>3418.0318488945518</v>
      </c>
      <c r="G14" s="630">
        <f>($F$26-$G$25)*'ANNEXE 1 Grille'!B12</f>
        <v>3217.4890844412289</v>
      </c>
      <c r="H14" s="555">
        <f t="shared" si="3"/>
        <v>200.54276445332289</v>
      </c>
      <c r="I14" s="675"/>
    </row>
    <row r="15" spans="1:9" x14ac:dyDescent="0.25">
      <c r="A15" s="676" t="s">
        <v>28</v>
      </c>
      <c r="B15" s="645" t="e">
        <f t="shared" si="0"/>
        <v>#REF!</v>
      </c>
      <c r="C15" s="646" t="e">
        <f>'ANNEXE 1 Grille'!#REF!*($C$26-$C$24)</f>
        <v>#REF!</v>
      </c>
      <c r="D15" s="645" t="e">
        <f t="shared" si="1"/>
        <v>#REF!</v>
      </c>
      <c r="E15" s="675"/>
      <c r="F15" s="555">
        <f t="shared" si="2"/>
        <v>399.17825301529371</v>
      </c>
      <c r="G15" s="630">
        <f>($F$26-$G$25)*'ANNEXE 1 Grille'!B13</f>
        <v>198.63548856197082</v>
      </c>
      <c r="H15" s="555">
        <f t="shared" si="3"/>
        <v>200.54276445332289</v>
      </c>
      <c r="I15" s="675"/>
    </row>
    <row r="16" spans="1:9" x14ac:dyDescent="0.25">
      <c r="A16" s="676" t="s">
        <v>29</v>
      </c>
      <c r="B16" s="645" t="e">
        <f t="shared" si="0"/>
        <v>#REF!</v>
      </c>
      <c r="C16" s="646" t="e">
        <f>'ANNEXE 1 Grille'!#REF!*($C$26-$C$24)</f>
        <v>#REF!</v>
      </c>
      <c r="D16" s="645" t="e">
        <f t="shared" si="1"/>
        <v>#REF!</v>
      </c>
      <c r="E16" s="675"/>
      <c r="F16" s="555">
        <f t="shared" si="2"/>
        <v>2090.7835560986023</v>
      </c>
      <c r="G16" s="630">
        <f>($F$26-$G$25)*'ANNEXE 1 Grille'!B14</f>
        <v>1890.2407916452796</v>
      </c>
      <c r="H16" s="555">
        <f t="shared" si="3"/>
        <v>200.54276445332289</v>
      </c>
      <c r="I16" s="675"/>
    </row>
    <row r="17" spans="1:10" x14ac:dyDescent="0.25">
      <c r="A17" s="676" t="s">
        <v>30</v>
      </c>
      <c r="B17" s="645" t="e">
        <f t="shared" si="0"/>
        <v>#REF!</v>
      </c>
      <c r="C17" s="646" t="e">
        <f>'ANNEXE 1 Grille'!#REF!*($C$26-$C$24)</f>
        <v>#REF!</v>
      </c>
      <c r="D17" s="645" t="e">
        <f t="shared" si="1"/>
        <v>#REF!</v>
      </c>
      <c r="E17" s="675"/>
      <c r="F17" s="555">
        <f t="shared" si="2"/>
        <v>4255.8174570431047</v>
      </c>
      <c r="G17" s="630">
        <f>($F$26-$G$25)*'ANNEXE 1 Grille'!B15</f>
        <v>4055.2746925897818</v>
      </c>
      <c r="H17" s="555">
        <f t="shared" si="3"/>
        <v>200.54276445332289</v>
      </c>
      <c r="I17" s="675"/>
    </row>
    <row r="18" spans="1:10" x14ac:dyDescent="0.25">
      <c r="A18" s="676" t="s">
        <v>31</v>
      </c>
      <c r="B18" s="645" t="e">
        <f t="shared" si="0"/>
        <v>#REF!</v>
      </c>
      <c r="C18" s="646" t="e">
        <f>'ANNEXE 1 Grille'!#REF!*($C$26-$C$24)</f>
        <v>#REF!</v>
      </c>
      <c r="D18" s="645" t="e">
        <f t="shared" si="1"/>
        <v>#REF!</v>
      </c>
      <c r="E18" s="675"/>
      <c r="F18" s="555">
        <f t="shared" si="2"/>
        <v>1041.7554236843166</v>
      </c>
      <c r="G18" s="630">
        <f>($F$26-$G$25)*'ANNEXE 1 Grille'!B16</f>
        <v>841.21265923099384</v>
      </c>
      <c r="H18" s="555">
        <f t="shared" si="3"/>
        <v>200.54276445332289</v>
      </c>
      <c r="I18" s="675"/>
    </row>
    <row r="19" spans="1:10" x14ac:dyDescent="0.25">
      <c r="A19" s="674" t="s">
        <v>32</v>
      </c>
      <c r="B19" s="645" t="e">
        <f t="shared" si="0"/>
        <v>#REF!</v>
      </c>
      <c r="C19" s="646" t="e">
        <f>'ANNEXE 1 Grille'!#REF!*($C$26-$C$24)</f>
        <v>#REF!</v>
      </c>
      <c r="D19" s="645" t="e">
        <f t="shared" si="1"/>
        <v>#REF!</v>
      </c>
      <c r="E19" s="675"/>
      <c r="F19" s="555">
        <f t="shared" si="2"/>
        <v>1695.4979151268849</v>
      </c>
      <c r="G19" s="630">
        <f>($F$26-$G$25)*'ANNEXE 1 Grille'!B17</f>
        <v>1494.955150673562</v>
      </c>
      <c r="H19" s="555">
        <f>IF(G19&lt;&gt;0,$H$26/G$28,G19)</f>
        <v>200.54276445332289</v>
      </c>
      <c r="I19" s="675"/>
    </row>
    <row r="20" spans="1:10" x14ac:dyDescent="0.25">
      <c r="A20" s="674" t="s">
        <v>33</v>
      </c>
      <c r="B20" s="645" t="e">
        <f t="shared" si="0"/>
        <v>#REF!</v>
      </c>
      <c r="C20" s="646" t="e">
        <f>'ANNEXE 1 Grille'!#REF!*($C$26-$C$24)</f>
        <v>#REF!</v>
      </c>
      <c r="D20" s="645" t="e">
        <f t="shared" si="1"/>
        <v>#REF!</v>
      </c>
      <c r="E20" s="675"/>
      <c r="F20" s="555">
        <f t="shared" si="2"/>
        <v>1134.2841168620432</v>
      </c>
      <c r="G20" s="630">
        <f>($F$26-$G$25)*'ANNEXE 1 Grille'!B18</f>
        <v>933.74135240872033</v>
      </c>
      <c r="H20" s="555">
        <f t="shared" si="3"/>
        <v>200.54276445332289</v>
      </c>
      <c r="I20" s="675"/>
    </row>
    <row r="21" spans="1:10" x14ac:dyDescent="0.25">
      <c r="A21" s="677" t="s">
        <v>34</v>
      </c>
      <c r="B21" s="645" t="e">
        <f t="shared" si="0"/>
        <v>#REF!</v>
      </c>
      <c r="C21" s="646" t="e">
        <f>'ANNEXE 1 Grille'!#REF!*($C$26-$C$24)</f>
        <v>#REF!</v>
      </c>
      <c r="D21" s="645" t="e">
        <f t="shared" si="1"/>
        <v>#REF!</v>
      </c>
      <c r="E21" s="675"/>
      <c r="F21" s="555">
        <f t="shared" si="2"/>
        <v>431.40628677611329</v>
      </c>
      <c r="G21" s="630">
        <f>($F$26-$G$25)*'ANNEXE 1 Grille'!B19</f>
        <v>230.8635223227904</v>
      </c>
      <c r="H21" s="555">
        <f t="shared" si="3"/>
        <v>200.54276445332289</v>
      </c>
      <c r="I21" s="675"/>
    </row>
    <row r="22" spans="1:10" x14ac:dyDescent="0.25">
      <c r="A22" s="677" t="s">
        <v>35</v>
      </c>
      <c r="B22" s="645" t="e">
        <f t="shared" si="0"/>
        <v>#REF!</v>
      </c>
      <c r="C22" s="646" t="e">
        <f>'ANNEXE 1 Grille'!#REF!*($C$26-$C$24)</f>
        <v>#REF!</v>
      </c>
      <c r="D22" s="645" t="e">
        <f t="shared" si="1"/>
        <v>#REF!</v>
      </c>
      <c r="E22" s="675"/>
      <c r="F22" s="555">
        <f t="shared" si="2"/>
        <v>5575.8728406500186</v>
      </c>
      <c r="G22" s="630">
        <f>($F$26-$G$25)*'ANNEXE 1 Grille'!B20</f>
        <v>5375.3300761966957</v>
      </c>
      <c r="H22" s="555">
        <f t="shared" si="3"/>
        <v>200.54276445332289</v>
      </c>
      <c r="I22" s="675"/>
    </row>
    <row r="23" spans="1:10" x14ac:dyDescent="0.25">
      <c r="A23" s="677" t="s">
        <v>36</v>
      </c>
      <c r="B23" s="645" t="e">
        <f t="shared" si="0"/>
        <v>#REF!</v>
      </c>
      <c r="C23" s="646" t="e">
        <f>'ANNEXE 1 Grille'!#REF!*($C$26-$C$24)</f>
        <v>#REF!</v>
      </c>
      <c r="D23" s="645" t="e">
        <f t="shared" si="1"/>
        <v>#REF!</v>
      </c>
      <c r="E23" s="675"/>
      <c r="F23" s="555">
        <f t="shared" si="2"/>
        <v>343.39499109815949</v>
      </c>
      <c r="G23" s="630">
        <f>($F$26-$G$25)*'ANNEXE 1 Grille'!B21</f>
        <v>142.85222664483661</v>
      </c>
      <c r="H23" s="555">
        <f t="shared" si="3"/>
        <v>200.54276445332289</v>
      </c>
      <c r="I23" s="675"/>
    </row>
    <row r="24" spans="1:10" x14ac:dyDescent="0.25">
      <c r="A24" s="676" t="s">
        <v>38</v>
      </c>
      <c r="B24" s="645">
        <f t="shared" si="0"/>
        <v>15000</v>
      </c>
      <c r="C24" s="647">
        <f>C26*6/100</f>
        <v>15000</v>
      </c>
      <c r="D24" s="647"/>
      <c r="E24" s="675"/>
      <c r="F24" s="555">
        <f>G24+H24</f>
        <v>0</v>
      </c>
      <c r="G24" s="630"/>
      <c r="H24" s="630"/>
      <c r="I24" s="675"/>
    </row>
    <row r="25" spans="1:10" x14ac:dyDescent="0.25">
      <c r="A25" s="678" t="s">
        <v>4</v>
      </c>
      <c r="B25" s="645">
        <f>C25+D25</f>
        <v>0</v>
      </c>
      <c r="C25" s="647">
        <v>0</v>
      </c>
      <c r="D25" s="647"/>
      <c r="E25" s="675"/>
      <c r="F25" s="555">
        <f>G25+H25</f>
        <v>50000</v>
      </c>
      <c r="G25" s="630">
        <f>F26/2</f>
        <v>50000</v>
      </c>
      <c r="H25" s="630"/>
      <c r="I25" s="675"/>
    </row>
    <row r="26" spans="1:10" x14ac:dyDescent="0.25">
      <c r="A26" s="679" t="s">
        <v>49</v>
      </c>
      <c r="B26" s="617">
        <v>250000</v>
      </c>
      <c r="C26" s="651">
        <v>250000</v>
      </c>
      <c r="D26" s="680" t="e">
        <f>C26-C24-SUM(C4:C23)</f>
        <v>#REF!</v>
      </c>
      <c r="E26" s="675"/>
      <c r="F26" s="557">
        <v>100000</v>
      </c>
      <c r="G26" s="557">
        <f>SUM(G4:G25)</f>
        <v>95989.144710933542</v>
      </c>
      <c r="H26" s="540">
        <f>F26-SUM(G4:G25)</f>
        <v>4010.8552890664578</v>
      </c>
      <c r="I26" s="675"/>
    </row>
    <row r="27" spans="1:10" x14ac:dyDescent="0.25">
      <c r="A27" s="652" t="s">
        <v>39</v>
      </c>
      <c r="B27" s="654" t="e">
        <f>SUM(B4:B25)</f>
        <v>#REF!</v>
      </c>
      <c r="C27" s="654" t="e">
        <f>SUM(C4:D25)</f>
        <v>#REF!</v>
      </c>
      <c r="D27" s="654" t="e">
        <f>SUM(D4:D24)</f>
        <v>#REF!</v>
      </c>
      <c r="E27" s="492"/>
      <c r="F27" s="654">
        <f>SUM(F4:F25)</f>
        <v>100000.00000000001</v>
      </c>
      <c r="G27" s="654">
        <f>SUM(G4:G25)</f>
        <v>95989.144710933542</v>
      </c>
      <c r="H27" s="654">
        <f>SUM(H4:H25)</f>
        <v>4010.8552890664578</v>
      </c>
      <c r="I27" s="492"/>
      <c r="J27" s="297"/>
    </row>
    <row r="28" spans="1:10" x14ac:dyDescent="0.25">
      <c r="B28" s="373" t="s">
        <v>202</v>
      </c>
      <c r="C28" s="618">
        <f>SUBTOTAL(3,C4:C23)</f>
        <v>20</v>
      </c>
      <c r="F28" s="373" t="s">
        <v>202</v>
      </c>
      <c r="G28" s="618">
        <f>SUBTOTAL(3,G4:G23)</f>
        <v>20</v>
      </c>
    </row>
  </sheetData>
  <mergeCells count="5"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H25"/>
  <sheetViews>
    <sheetView topLeftCell="A13" workbookViewId="0">
      <selection activeCell="L14" sqref="L14"/>
    </sheetView>
  </sheetViews>
  <sheetFormatPr baseColWidth="10" defaultColWidth="9.140625" defaultRowHeight="15" x14ac:dyDescent="0.25"/>
  <cols>
    <col min="1" max="1" width="21.28515625" style="145" customWidth="1"/>
    <col min="2" max="2" width="20.42578125" style="27" customWidth="1"/>
  </cols>
  <sheetData>
    <row r="1" spans="1:942" s="1" customFormat="1" ht="60" x14ac:dyDescent="0.25">
      <c r="A1" s="147" t="s">
        <v>3</v>
      </c>
      <c r="B1" s="148" t="s">
        <v>454</v>
      </c>
      <c r="C1" s="13"/>
    </row>
    <row r="2" spans="1:942" x14ac:dyDescent="0.25">
      <c r="A2" s="149" t="s">
        <v>17</v>
      </c>
      <c r="B2" s="693">
        <v>4.1706680990089187E-2</v>
      </c>
      <c r="C2" s="13"/>
      <c r="AJF2" s="1"/>
    </row>
    <row r="3" spans="1:942" x14ac:dyDescent="0.25">
      <c r="A3" s="149" t="s">
        <v>18</v>
      </c>
      <c r="B3" s="693">
        <v>2.5388630739228764E-2</v>
      </c>
      <c r="C3" s="13"/>
      <c r="AJF3" s="1"/>
    </row>
    <row r="4" spans="1:942" x14ac:dyDescent="0.25">
      <c r="A4" s="149" t="s">
        <v>19</v>
      </c>
      <c r="B4" s="693">
        <v>1.217566526677998E-2</v>
      </c>
      <c r="C4" s="13"/>
      <c r="AJF4" s="1"/>
    </row>
    <row r="5" spans="1:942" x14ac:dyDescent="0.25">
      <c r="A5" s="149" t="s">
        <v>20</v>
      </c>
      <c r="B5" s="693">
        <v>0.15</v>
      </c>
      <c r="C5" s="13"/>
      <c r="AJF5" s="1"/>
    </row>
    <row r="6" spans="1:942" x14ac:dyDescent="0.25">
      <c r="A6" s="20" t="s">
        <v>21</v>
      </c>
      <c r="B6" s="693">
        <v>7.2617414516022244E-2</v>
      </c>
      <c r="AJF6" s="1"/>
    </row>
    <row r="7" spans="1:942" x14ac:dyDescent="0.25">
      <c r="A7" s="20" t="s">
        <v>22</v>
      </c>
      <c r="B7" s="693">
        <v>4.1456769428537352E-3</v>
      </c>
      <c r="AJF7" s="1"/>
    </row>
    <row r="8" spans="1:942" x14ac:dyDescent="0.25">
      <c r="A8" s="20" t="s">
        <v>23</v>
      </c>
      <c r="B8" s="693">
        <v>2.208747739554295E-2</v>
      </c>
      <c r="AJF8" s="1"/>
    </row>
    <row r="9" spans="1:942" x14ac:dyDescent="0.25">
      <c r="A9" s="20" t="s">
        <v>24</v>
      </c>
      <c r="B9" s="693">
        <v>8.1198754942560999E-3</v>
      </c>
      <c r="AJF9" s="1"/>
    </row>
    <row r="10" spans="1:942" x14ac:dyDescent="0.25">
      <c r="A10" s="20" t="s">
        <v>25</v>
      </c>
      <c r="B10" s="693">
        <v>0.14172464476002503</v>
      </c>
      <c r="AJF10" s="1"/>
    </row>
    <row r="11" spans="1:942" x14ac:dyDescent="0.25">
      <c r="A11" s="54" t="s">
        <v>26</v>
      </c>
      <c r="B11" s="693">
        <v>7.4204927219555836E-2</v>
      </c>
      <c r="AJF11" s="1"/>
    </row>
    <row r="12" spans="1:942" x14ac:dyDescent="0.25">
      <c r="A12" s="20" t="s">
        <v>27</v>
      </c>
      <c r="B12" s="693">
        <v>6.4349781688824575E-2</v>
      </c>
      <c r="AJF12" s="1"/>
    </row>
    <row r="13" spans="1:942" x14ac:dyDescent="0.25">
      <c r="A13" s="20" t="s">
        <v>28</v>
      </c>
      <c r="B13" s="693">
        <v>3.9727097712394166E-3</v>
      </c>
      <c r="AJF13" s="1"/>
    </row>
    <row r="14" spans="1:942" x14ac:dyDescent="0.25">
      <c r="A14" s="20" t="s">
        <v>29</v>
      </c>
      <c r="B14" s="693">
        <v>3.780481583290559E-2</v>
      </c>
      <c r="AJF14" s="1"/>
    </row>
    <row r="15" spans="1:942" x14ac:dyDescent="0.25">
      <c r="A15" s="20" t="s">
        <v>30</v>
      </c>
      <c r="B15" s="693">
        <v>8.1105493851795635E-2</v>
      </c>
      <c r="AJF15" s="1"/>
    </row>
    <row r="16" spans="1:942" x14ac:dyDescent="0.25">
      <c r="A16" s="20" t="s">
        <v>31</v>
      </c>
      <c r="B16" s="693">
        <v>1.6824253184619876E-2</v>
      </c>
      <c r="AJF16" s="1"/>
    </row>
    <row r="17" spans="1:996" s="10" customFormat="1" x14ac:dyDescent="0.25">
      <c r="A17" s="149" t="s">
        <v>32</v>
      </c>
      <c r="B17" s="693">
        <v>2.9899103013471238E-2</v>
      </c>
      <c r="C17" s="13"/>
    </row>
    <row r="18" spans="1:996" s="1" customFormat="1" x14ac:dyDescent="0.25">
      <c r="A18" s="149" t="s">
        <v>33</v>
      </c>
      <c r="B18" s="693">
        <v>1.8674827048174407E-2</v>
      </c>
      <c r="C18" s="13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</row>
    <row r="19" spans="1:996" s="1" customFormat="1" x14ac:dyDescent="0.25">
      <c r="A19" s="151" t="s">
        <v>34</v>
      </c>
      <c r="B19" s="693">
        <v>4.6172704464558078E-3</v>
      </c>
      <c r="C19" s="5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</row>
    <row r="20" spans="1:996" s="1" customFormat="1" x14ac:dyDescent="0.25">
      <c r="A20" s="151" t="s">
        <v>35</v>
      </c>
      <c r="B20" s="693">
        <v>0.10750660152393392</v>
      </c>
      <c r="C20" s="5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</row>
    <row r="21" spans="1:996" s="1" customFormat="1" x14ac:dyDescent="0.25">
      <c r="A21" s="151" t="s">
        <v>36</v>
      </c>
      <c r="B21" s="693">
        <v>2.8570445328967319E-3</v>
      </c>
      <c r="C21" s="5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</row>
    <row r="22" spans="1:996" s="1" customFormat="1" x14ac:dyDescent="0.25">
      <c r="A22" s="151" t="s">
        <v>352</v>
      </c>
      <c r="B22" s="693">
        <v>8.0217105781329179E-2</v>
      </c>
      <c r="C22" s="15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</row>
    <row r="23" spans="1:996" s="1" customFormat="1" x14ac:dyDescent="0.25">
      <c r="A23" s="20" t="s">
        <v>11</v>
      </c>
      <c r="B23" s="175">
        <f>SUM(B2:B22)</f>
        <v>1</v>
      </c>
      <c r="C23" s="152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</row>
    <row r="24" spans="1:996" s="1" customFormat="1" x14ac:dyDescent="0.25">
      <c r="A24"/>
      <c r="B24"/>
      <c r="C24" s="5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</row>
    <row r="25" spans="1:996" x14ac:dyDescent="0.25">
      <c r="A25" s="20" t="s">
        <v>38</v>
      </c>
      <c r="B25" s="150">
        <v>0.06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F48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17" sqref="A17"/>
      <selection pane="bottomRight" activeCell="J28" sqref="J28"/>
    </sheetView>
  </sheetViews>
  <sheetFormatPr baseColWidth="10" defaultColWidth="9.5703125" defaultRowHeight="12" x14ac:dyDescent="0.2"/>
  <cols>
    <col min="1" max="1" width="10.42578125" style="567" customWidth="1"/>
    <col min="2" max="2" width="10.140625" style="456" customWidth="1"/>
    <col min="3" max="3" width="9.5703125" style="456" customWidth="1"/>
    <col min="4" max="4" width="9.5703125" style="453" customWidth="1"/>
    <col min="5" max="5" width="9.140625" style="453" customWidth="1"/>
    <col min="6" max="6" width="9.140625" style="700" customWidth="1"/>
    <col min="7" max="7" width="9.7109375" style="243" hidden="1" customWidth="1"/>
    <col min="8" max="8" width="7.7109375" style="243" hidden="1" customWidth="1"/>
    <col min="9" max="9" width="9.5703125" style="700" customWidth="1"/>
    <col min="10" max="10" width="9" style="700" customWidth="1"/>
    <col min="11" max="11" width="9.7109375" style="243" hidden="1" customWidth="1"/>
    <col min="12" max="12" width="7.7109375" style="243" hidden="1" customWidth="1"/>
    <col min="13" max="13" width="9" style="567" customWidth="1"/>
    <col min="14" max="14" width="8.85546875" style="567" customWidth="1"/>
    <col min="15" max="15" width="8.85546875" style="605" customWidth="1"/>
    <col min="16" max="16" width="8.7109375" style="661" customWidth="1"/>
    <col min="17" max="17" width="8.5703125" style="567" customWidth="1"/>
    <col min="18" max="18" width="0" style="221" hidden="1" customWidth="1"/>
    <col min="19" max="20" width="9.5703125" style="221" hidden="1" customWidth="1"/>
    <col min="21" max="21" width="8" style="708" customWidth="1"/>
    <col min="22" max="22" width="9" style="221" hidden="1" customWidth="1"/>
    <col min="23" max="23" width="7.7109375" style="221" hidden="1" customWidth="1"/>
    <col min="24" max="24" width="5" style="221" hidden="1" customWidth="1"/>
    <col min="25" max="25" width="9" style="221" hidden="1" customWidth="1"/>
    <col min="26" max="26" width="7.7109375" style="221" hidden="1" customWidth="1"/>
    <col min="27" max="27" width="8.140625" style="708" customWidth="1"/>
    <col min="28" max="28" width="8.140625" style="221" hidden="1" customWidth="1"/>
    <col min="29" max="29" width="9.5703125" style="567" customWidth="1"/>
    <col min="30" max="30" width="9" style="221" hidden="1" customWidth="1"/>
    <col min="31" max="31" width="7.7109375" style="221" hidden="1" customWidth="1"/>
    <col min="32" max="32" width="9.5703125" style="567" customWidth="1"/>
    <col min="33" max="16384" width="9.5703125" style="221"/>
  </cols>
  <sheetData>
    <row r="1" spans="1:32" s="567" customFormat="1" ht="35.25" customHeight="1" x14ac:dyDescent="0.2">
      <c r="A1" s="718" t="s">
        <v>40</v>
      </c>
      <c r="B1" s="718" t="s">
        <v>78</v>
      </c>
      <c r="C1" s="719" t="s">
        <v>381</v>
      </c>
      <c r="D1" s="719"/>
      <c r="E1" s="719"/>
      <c r="F1" s="719"/>
      <c r="G1" s="719"/>
      <c r="H1" s="719"/>
      <c r="I1" s="719"/>
      <c r="J1" s="719"/>
      <c r="K1" s="719"/>
      <c r="L1" s="719"/>
      <c r="M1" s="728" t="s">
        <v>382</v>
      </c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606"/>
      <c r="AE1" s="606"/>
      <c r="AF1" s="607" t="s">
        <v>394</v>
      </c>
    </row>
    <row r="2" spans="1:32" s="567" customFormat="1" ht="36" customHeight="1" x14ac:dyDescent="0.2">
      <c r="A2" s="718"/>
      <c r="B2" s="718"/>
      <c r="C2" s="720" t="s">
        <v>41</v>
      </c>
      <c r="D2" s="720" t="s">
        <v>42</v>
      </c>
      <c r="E2" s="721" t="s">
        <v>46</v>
      </c>
      <c r="F2" s="725" t="s">
        <v>443</v>
      </c>
      <c r="G2" s="726"/>
      <c r="H2" s="727"/>
      <c r="I2" s="722" t="s">
        <v>368</v>
      </c>
      <c r="J2" s="723" t="s">
        <v>367</v>
      </c>
      <c r="K2" s="723"/>
      <c r="L2" s="723"/>
      <c r="M2" s="721" t="s">
        <v>43</v>
      </c>
      <c r="N2" s="721" t="s">
        <v>44</v>
      </c>
      <c r="O2" s="721" t="s">
        <v>45</v>
      </c>
      <c r="P2" s="731" t="s">
        <v>47</v>
      </c>
      <c r="Q2" s="731" t="s">
        <v>48</v>
      </c>
      <c r="R2" s="723" t="s">
        <v>396</v>
      </c>
      <c r="S2" s="723"/>
      <c r="T2" s="723"/>
      <c r="U2" s="723" t="s">
        <v>12</v>
      </c>
      <c r="V2" s="723"/>
      <c r="W2" s="723"/>
      <c r="X2" s="723" t="s">
        <v>397</v>
      </c>
      <c r="Y2" s="723"/>
      <c r="Z2" s="723"/>
      <c r="AA2" s="709" t="s">
        <v>13</v>
      </c>
      <c r="AB2" s="686" t="s">
        <v>395</v>
      </c>
      <c r="AC2" s="723" t="s">
        <v>198</v>
      </c>
      <c r="AD2" s="723"/>
      <c r="AE2" s="723"/>
      <c r="AF2" s="663"/>
    </row>
    <row r="3" spans="1:32" ht="12" hidden="1" customHeight="1" x14ac:dyDescent="0.2">
      <c r="A3" s="718"/>
      <c r="B3" s="718"/>
      <c r="C3" s="720"/>
      <c r="D3" s="720"/>
      <c r="E3" s="721"/>
      <c r="F3" s="704"/>
      <c r="G3" s="333"/>
      <c r="H3" s="333"/>
      <c r="I3" s="722"/>
      <c r="J3" s="724">
        <v>2018</v>
      </c>
      <c r="K3" s="724"/>
      <c r="L3" s="724"/>
      <c r="M3" s="721"/>
      <c r="N3" s="721"/>
      <c r="O3" s="721"/>
      <c r="P3" s="731"/>
      <c r="Q3" s="731"/>
      <c r="R3" s="730">
        <v>2018</v>
      </c>
      <c r="S3" s="730"/>
      <c r="T3" s="730"/>
      <c r="U3" s="730">
        <v>2018</v>
      </c>
      <c r="V3" s="730"/>
      <c r="W3" s="730"/>
      <c r="X3" s="730">
        <v>2018</v>
      </c>
      <c r="Y3" s="730"/>
      <c r="Z3" s="730"/>
      <c r="AA3" s="732">
        <v>2018</v>
      </c>
      <c r="AB3" s="220"/>
      <c r="AC3" s="730">
        <v>2018</v>
      </c>
      <c r="AD3" s="730"/>
      <c r="AE3" s="730"/>
      <c r="AF3" s="729">
        <v>2018</v>
      </c>
    </row>
    <row r="4" spans="1:32" ht="24" hidden="1" x14ac:dyDescent="0.2">
      <c r="A4" s="718"/>
      <c r="B4" s="718"/>
      <c r="C4" s="720"/>
      <c r="D4" s="720"/>
      <c r="E4" s="721"/>
      <c r="F4" s="704"/>
      <c r="G4" s="222" t="s">
        <v>200</v>
      </c>
      <c r="H4" s="222" t="s">
        <v>201</v>
      </c>
      <c r="I4" s="722"/>
      <c r="J4" s="695" t="s">
        <v>199</v>
      </c>
      <c r="K4" s="222" t="s">
        <v>200</v>
      </c>
      <c r="L4" s="222" t="s">
        <v>201</v>
      </c>
      <c r="M4" s="721"/>
      <c r="N4" s="721"/>
      <c r="O4" s="721"/>
      <c r="P4" s="731"/>
      <c r="Q4" s="731"/>
      <c r="R4" s="223" t="s">
        <v>199</v>
      </c>
      <c r="S4" s="222" t="s">
        <v>200</v>
      </c>
      <c r="T4" s="222" t="s">
        <v>201</v>
      </c>
      <c r="U4" s="705" t="s">
        <v>199</v>
      </c>
      <c r="V4" s="222" t="s">
        <v>200</v>
      </c>
      <c r="W4" s="222" t="s">
        <v>201</v>
      </c>
      <c r="X4" s="223" t="s">
        <v>199</v>
      </c>
      <c r="Y4" s="222" t="s">
        <v>200</v>
      </c>
      <c r="Z4" s="222" t="s">
        <v>201</v>
      </c>
      <c r="AA4" s="732"/>
      <c r="AB4" s="220"/>
      <c r="AC4" s="685" t="s">
        <v>199</v>
      </c>
      <c r="AD4" s="222" t="s">
        <v>200</v>
      </c>
      <c r="AE4" s="222" t="s">
        <v>201</v>
      </c>
      <c r="AF4" s="729"/>
    </row>
    <row r="5" spans="1:32" x14ac:dyDescent="0.2">
      <c r="A5" s="682" t="s">
        <v>17</v>
      </c>
      <c r="B5" s="662">
        <f>C5+D5+E5+F5+I5+J5+M5+N5+O5+P5+Q5+U5+AA5+AC5</f>
        <v>69695.643939470669</v>
      </c>
      <c r="C5" s="448">
        <f>'IRI FR VT'!C4</f>
        <v>33881.163202432559</v>
      </c>
      <c r="D5" s="448">
        <f>'IRI FR EFF'!B4</f>
        <v>1976.7223078100712</v>
      </c>
      <c r="E5" s="570">
        <f>KANTAR!B4</f>
        <v>5616.4566003274813</v>
      </c>
      <c r="F5" s="696">
        <f>G5+H5</f>
        <v>2089.010422920564</v>
      </c>
      <c r="G5" s="226">
        <f>'ANNEXE 1 Grille'!$B2*($F$28-$F$26)</f>
        <v>1668.2672396035675</v>
      </c>
      <c r="H5" s="225">
        <f>IF(G5&lt;&gt;0,$G$27/G$29,G5)</f>
        <v>420.74318331699658</v>
      </c>
      <c r="I5" s="696">
        <f>'PANEL CHR FRANCE'!F4</f>
        <v>2285.8768139577824</v>
      </c>
      <c r="J5" s="696">
        <f t="shared" ref="J5:J26" si="0">K5+L5</f>
        <v>2023.2540198209263</v>
      </c>
      <c r="K5" s="226">
        <f>'ANNEXE 1 Grille'!$B2*($J$28-$J$26)</f>
        <v>1459.7338346531214</v>
      </c>
      <c r="L5" s="225">
        <f>IF(K5&lt;&gt;0,$K$27/K$29,K5)</f>
        <v>563.52018516780493</v>
      </c>
      <c r="M5" s="564">
        <f>'IRI UK'!B4+'IRI UK'!G4</f>
        <v>3839.212463233569</v>
      </c>
      <c r="N5" s="570">
        <f>'IRI ALL'!B4</f>
        <v>2853.1952083824872</v>
      </c>
      <c r="O5" s="570">
        <f>'IRI PB'!B4</f>
        <v>3171.1327081278819</v>
      </c>
      <c r="P5" s="570">
        <f>GfK!B4</f>
        <v>1847.4154376840524</v>
      </c>
      <c r="Q5" s="570">
        <f>GfK!F4</f>
        <v>1419.1509498572952</v>
      </c>
      <c r="R5" s="225">
        <f t="shared" ref="R5:R25" si="1">S5+T5</f>
        <v>0</v>
      </c>
      <c r="S5" s="225">
        <f>'ANNEXE 1 Grille'!B2*($R$28-$S$26)</f>
        <v>0</v>
      </c>
      <c r="T5" s="225">
        <f>IF(S5&lt;&gt;0,$S$27/$S$29,S5)</f>
        <v>0</v>
      </c>
      <c r="U5" s="696">
        <f>V5+W5</f>
        <v>1098.517380418536</v>
      </c>
      <c r="V5" s="224">
        <f>$U$28*'ANNEXE 1 Grille'!B2</f>
        <v>710.38989730418916</v>
      </c>
      <c r="W5" s="225">
        <f>IF(V5&lt;&gt;0,$V$27/$V$29,V5)</f>
        <v>388.12748311434689</v>
      </c>
      <c r="X5" s="225">
        <f>Y5+Z5</f>
        <v>0</v>
      </c>
      <c r="Y5" s="224">
        <f>$X$28*'ANNEXE 1 Grille'!B2</f>
        <v>0</v>
      </c>
      <c r="Z5" s="225">
        <f>IF(Y5&lt;&gt;0,$Y$27/$Y$29,Y5)</f>
        <v>0</v>
      </c>
      <c r="AA5" s="710">
        <f>' DETAIL MONOPOLES'!B2</f>
        <v>0</v>
      </c>
      <c r="AB5" s="227">
        <v>7042.0413012929348</v>
      </c>
      <c r="AC5" s="570">
        <f t="shared" ref="AC5:AC26" si="2">(AD5+AE5)</f>
        <v>7594.5364244974789</v>
      </c>
      <c r="AD5" s="224">
        <f>'ANNEXE 1 Grille'!B2*$AC$28</f>
        <v>4717.0256199790874</v>
      </c>
      <c r="AE5" s="225">
        <f>IF(AD5&lt;&gt;0,$AD$27/AD$28,AD5)</f>
        <v>2877.5108045183911</v>
      </c>
      <c r="AF5" s="664">
        <v>0</v>
      </c>
    </row>
    <row r="6" spans="1:32" x14ac:dyDescent="0.2">
      <c r="A6" s="682" t="s">
        <v>18</v>
      </c>
      <c r="B6" s="662">
        <f t="shared" ref="B6:B26" si="3">C6+D6+E6+F6+I6+J6+M6+N6+O6+P6+Q6+U6+AA6+AC6</f>
        <v>37397.653021981023</v>
      </c>
      <c r="C6" s="448">
        <f>'IRI FR VT'!C5</f>
        <v>34475.556459525447</v>
      </c>
      <c r="D6" s="448">
        <f>'IRI FR EFF'!B5</f>
        <v>0</v>
      </c>
      <c r="E6" s="570">
        <f>KANTAR!B5</f>
        <v>0</v>
      </c>
      <c r="F6" s="696">
        <f t="shared" ref="F6:F24" si="4">G6+H6</f>
        <v>0</v>
      </c>
      <c r="G6" s="226"/>
      <c r="H6" s="225">
        <f t="shared" ref="H6:H24" si="5">IF(G6&lt;&gt;0,$G$27/G$29,G6)</f>
        <v>0</v>
      </c>
      <c r="I6" s="696">
        <f>'PANEL CHR FRANCE'!F5</f>
        <v>1469.9743014147612</v>
      </c>
      <c r="J6" s="696">
        <f t="shared" si="0"/>
        <v>1452.1222610408117</v>
      </c>
      <c r="K6" s="226">
        <f>'ANNEXE 1 Grille'!$B3*($J$28-$J$26)</f>
        <v>888.6020758730067</v>
      </c>
      <c r="L6" s="225">
        <f>IF(K6&lt;&gt;0,$K$27/K$29,K6)</f>
        <v>563.52018516780493</v>
      </c>
      <c r="M6" s="564">
        <f>'IRI UK'!B5+'IRI UK'!G5</f>
        <v>0</v>
      </c>
      <c r="N6" s="570">
        <f>'IRI ALL'!B5</f>
        <v>0</v>
      </c>
      <c r="O6" s="570">
        <f>'IRI PB'!B5</f>
        <v>0</v>
      </c>
      <c r="P6" s="570">
        <f>GfK!B5</f>
        <v>0</v>
      </c>
      <c r="Q6" s="570">
        <f>GfK!F5</f>
        <v>0</v>
      </c>
      <c r="R6" s="225">
        <f t="shared" si="1"/>
        <v>0</v>
      </c>
      <c r="S6" s="225">
        <f>'ANNEXE 1 Grille'!B3*($R$28-$S$26)</f>
        <v>0</v>
      </c>
      <c r="T6" s="225">
        <f t="shared" ref="T6:T25" si="6">IF(S6&lt;&gt;0,$S$27/$S$29,S6)</f>
        <v>0</v>
      </c>
      <c r="U6" s="696">
        <f t="shared" ref="U6:U21" si="7">V6+W6</f>
        <v>0</v>
      </c>
      <c r="V6" s="224"/>
      <c r="W6" s="225">
        <f t="shared" ref="W6:W25" si="8">IF(V6&lt;&gt;0,$V$27/$V$29,V6)</f>
        <v>0</v>
      </c>
      <c r="X6" s="225">
        <f t="shared" ref="X6:X26" si="9">Y6+Z6</f>
        <v>0</v>
      </c>
      <c r="Y6" s="224">
        <f>$X$28*'ANNEXE 1 Grille'!B3</f>
        <v>0</v>
      </c>
      <c r="Z6" s="225">
        <f t="shared" ref="Z6:Z25" si="10">IF(Y6&lt;&gt;0,$Y$27/$Y$29,Y6)</f>
        <v>0</v>
      </c>
      <c r="AA6" s="710">
        <f>' DETAIL MONOPOLES'!B3</f>
        <v>0</v>
      </c>
      <c r="AB6" s="227">
        <v>0</v>
      </c>
      <c r="AC6" s="570">
        <f t="shared" si="2"/>
        <v>0</v>
      </c>
      <c r="AD6" s="224"/>
      <c r="AE6" s="225">
        <f t="shared" ref="AE6:AE26" si="11">IF(AD6&lt;&gt;0,$AD$27/AD$28,AD6)</f>
        <v>0</v>
      </c>
      <c r="AF6" s="664">
        <v>0</v>
      </c>
    </row>
    <row r="7" spans="1:32" x14ac:dyDescent="0.2">
      <c r="A7" s="682" t="s">
        <v>19</v>
      </c>
      <c r="B7" s="662">
        <f t="shared" si="3"/>
        <v>24336.411186575213</v>
      </c>
      <c r="C7" s="448">
        <f>'IRI FR VT'!C6</f>
        <v>12315.078258139631</v>
      </c>
      <c r="D7" s="448">
        <f>'IRI FR EFF'!B6</f>
        <v>0</v>
      </c>
      <c r="E7" s="570">
        <f>KANTAR!B6</f>
        <v>2608.8341169879318</v>
      </c>
      <c r="F7" s="696">
        <f t="shared" si="4"/>
        <v>907.76979398819572</v>
      </c>
      <c r="G7" s="226">
        <f>'ANNEXE 1 Grille'!$B4*($F$28-$F$26)</f>
        <v>487.02661067119919</v>
      </c>
      <c r="H7" s="225">
        <f t="shared" si="5"/>
        <v>420.74318331699658</v>
      </c>
      <c r="I7" s="696">
        <f>'PANEL CHR FRANCE'!F6</f>
        <v>809.32602779232195</v>
      </c>
      <c r="J7" s="696">
        <f t="shared" si="0"/>
        <v>989.66846950510421</v>
      </c>
      <c r="K7" s="226">
        <f>'ANNEXE 1 Grille'!$B4*($J$28-$J$26)</f>
        <v>426.14828433729934</v>
      </c>
      <c r="L7" s="225">
        <f>IF(K7&lt;&gt;0,$K$27/K$29,K7)</f>
        <v>563.52018516780493</v>
      </c>
      <c r="M7" s="564">
        <f>'IRI UK'!B6+'IRI UK'!G6</f>
        <v>1668.3119761336752</v>
      </c>
      <c r="N7" s="570">
        <f>'IRI ALL'!B6</f>
        <v>1239.8427495160304</v>
      </c>
      <c r="O7" s="570">
        <f>'IRI PB'!B6</f>
        <v>1706.443598242859</v>
      </c>
      <c r="P7" s="570">
        <f>GfK!B6</f>
        <v>845.8522711221899</v>
      </c>
      <c r="Q7" s="570">
        <f>GfK!F6</f>
        <v>649.7683355438644</v>
      </c>
      <c r="R7" s="225">
        <f t="shared" si="1"/>
        <v>0</v>
      </c>
      <c r="S7" s="225">
        <f>'ANNEXE 1 Grille'!B4*($R$28-$S$26)</f>
        <v>0</v>
      </c>
      <c r="T7" s="225">
        <f t="shared" si="6"/>
        <v>0</v>
      </c>
      <c r="U7" s="696">
        <f t="shared" si="7"/>
        <v>595.51558960341026</v>
      </c>
      <c r="V7" s="224">
        <f>$U$28*'ANNEXE 1 Grille'!B4</f>
        <v>207.3881064890634</v>
      </c>
      <c r="W7" s="225">
        <f t="shared" si="8"/>
        <v>388.12748311434689</v>
      </c>
      <c r="X7" s="225">
        <f t="shared" si="9"/>
        <v>0</v>
      </c>
      <c r="Y7" s="224">
        <f>$X$28*'ANNEXE 1 Grille'!B4</f>
        <v>0</v>
      </c>
      <c r="Z7" s="225">
        <f t="shared" si="10"/>
        <v>0</v>
      </c>
      <c r="AA7" s="710">
        <f>' DETAIL MONOPOLES'!B4</f>
        <v>0</v>
      </c>
      <c r="AB7" s="227">
        <v>0</v>
      </c>
      <c r="AC7" s="570">
        <f t="shared" si="2"/>
        <v>0</v>
      </c>
      <c r="AD7" s="224"/>
      <c r="AE7" s="225">
        <f t="shared" si="11"/>
        <v>0</v>
      </c>
      <c r="AF7" s="664">
        <v>0</v>
      </c>
    </row>
    <row r="8" spans="1:32" x14ac:dyDescent="0.2">
      <c r="A8" s="682" t="s">
        <v>20</v>
      </c>
      <c r="B8" s="662">
        <f t="shared" si="3"/>
        <v>203770.4553009083</v>
      </c>
      <c r="C8" s="448">
        <f>'IRI FR VT'!C7</f>
        <v>95898.438669074938</v>
      </c>
      <c r="D8" s="448">
        <f>'IRI FR EFF'!B7</f>
        <v>4828.8516390472523</v>
      </c>
      <c r="E8" s="570">
        <f>KANTAR!B7</f>
        <v>16645.722376397163</v>
      </c>
      <c r="F8" s="696">
        <f t="shared" si="4"/>
        <v>6420.7431833169967</v>
      </c>
      <c r="G8" s="226">
        <f>'ANNEXE 1 Grille'!$B5*($F$28-$F$26)</f>
        <v>6000</v>
      </c>
      <c r="H8" s="225">
        <f t="shared" si="5"/>
        <v>420.74318331699658</v>
      </c>
      <c r="I8" s="696">
        <f>'PANEL CHR FRANCE'!F7</f>
        <v>7700.5427644533229</v>
      </c>
      <c r="J8" s="696">
        <f t="shared" si="0"/>
        <v>5813.5201851678048</v>
      </c>
      <c r="K8" s="226">
        <f>'ANNEXE 1 Grille'!$B5*($J$28-$J$26)</f>
        <v>5250</v>
      </c>
      <c r="L8" s="225">
        <f>IF(K8&lt;&gt;0,$K$27/K$29,K8)</f>
        <v>563.52018516780493</v>
      </c>
      <c r="M8" s="564">
        <f>'IRI UK'!B7+'IRI UK'!G7</f>
        <v>14705.216236760292</v>
      </c>
      <c r="N8" s="570">
        <f>'IRI ALL'!B7</f>
        <v>8769.5271808565722</v>
      </c>
      <c r="O8" s="570">
        <f>'IRI PB'!B7</f>
        <v>8542.300652816064</v>
      </c>
      <c r="P8" s="570">
        <f>GfK!B7</f>
        <v>5520.2521772429054</v>
      </c>
      <c r="Q8" s="570">
        <f>GfK!F7</f>
        <v>4240.5573543365963</v>
      </c>
      <c r="R8" s="225">
        <f t="shared" si="1"/>
        <v>0</v>
      </c>
      <c r="S8" s="225">
        <f>'ANNEXE 1 Grille'!B5*($R$28-$S$26)</f>
        <v>0</v>
      </c>
      <c r="T8" s="225">
        <f t="shared" si="6"/>
        <v>0</v>
      </c>
      <c r="U8" s="696">
        <f t="shared" si="7"/>
        <v>2943.0774831143467</v>
      </c>
      <c r="V8" s="224">
        <f>$U$28*'ANNEXE 1 Grille'!B5</f>
        <v>2554.9499999999998</v>
      </c>
      <c r="W8" s="225">
        <f t="shared" si="8"/>
        <v>388.12748311434689</v>
      </c>
      <c r="X8" s="225">
        <f t="shared" si="9"/>
        <v>0</v>
      </c>
      <c r="Y8" s="224">
        <f>$X$28*'ANNEXE 1 Grille'!B5</f>
        <v>0</v>
      </c>
      <c r="Z8" s="225">
        <f t="shared" si="10"/>
        <v>0</v>
      </c>
      <c r="AA8" s="710">
        <f>' DETAIL MONOPOLES'!B5</f>
        <v>1899.1945938056529</v>
      </c>
      <c r="AB8" s="227">
        <v>18208.119132635165</v>
      </c>
      <c r="AC8" s="570">
        <f t="shared" si="2"/>
        <v>19842.510804518392</v>
      </c>
      <c r="AD8" s="224">
        <f>'ANNEXE 1 Grille'!B5*$AC$28</f>
        <v>16965</v>
      </c>
      <c r="AE8" s="225">
        <f t="shared" si="11"/>
        <v>2877.5108045183911</v>
      </c>
      <c r="AF8" s="664">
        <v>0</v>
      </c>
    </row>
    <row r="9" spans="1:32" x14ac:dyDescent="0.2">
      <c r="A9" s="682" t="s">
        <v>21</v>
      </c>
      <c r="B9" s="662">
        <f t="shared" si="3"/>
        <v>90487.829422871364</v>
      </c>
      <c r="C9" s="448">
        <f>'IRI FR VT'!C8</f>
        <v>30450.485513340958</v>
      </c>
      <c r="D9" s="448">
        <f>'IRI FR EFF'!B8</f>
        <v>2790.8206339616759</v>
      </c>
      <c r="E9" s="570">
        <f>KANTAR!B8</f>
        <v>8764.5981339670816</v>
      </c>
      <c r="F9" s="696">
        <f t="shared" si="4"/>
        <v>3325.4397639578865</v>
      </c>
      <c r="G9" s="226">
        <f>'ANNEXE 1 Grille'!$B6*($F$28-$F$26)</f>
        <v>2904.6965806408898</v>
      </c>
      <c r="H9" s="225">
        <f t="shared" si="5"/>
        <v>420.74318331699658</v>
      </c>
      <c r="I9" s="696">
        <f>'PANEL CHR FRANCE'!F8</f>
        <v>3831.4134902544351</v>
      </c>
      <c r="J9" s="696">
        <f t="shared" si="0"/>
        <v>3105.1296932285832</v>
      </c>
      <c r="K9" s="226">
        <f>'ANNEXE 1 Grille'!$B6*($J$28-$J$26)</f>
        <v>2541.6095080607784</v>
      </c>
      <c r="L9" s="225">
        <f t="shared" ref="L9:L11" si="12">IF(K9&lt;&gt;0,$K$27/K$29,K9)</f>
        <v>563.52018516780493</v>
      </c>
      <c r="M9" s="564">
        <f>'IRI UK'!B8+'IRI UK'!G8</f>
        <v>9016.6244831207478</v>
      </c>
      <c r="N9" s="570">
        <f>'IRI ALL'!B8</f>
        <v>4541.9250647032422</v>
      </c>
      <c r="O9" s="570">
        <f>'IRI PB'!B8</f>
        <v>4704.2535190810995</v>
      </c>
      <c r="P9" s="570">
        <f>GfK!B8</f>
        <v>2895.7726103954219</v>
      </c>
      <c r="Q9" s="570">
        <f>GfK!F8</f>
        <v>2224.4798688946653</v>
      </c>
      <c r="R9" s="225">
        <f t="shared" si="1"/>
        <v>0</v>
      </c>
      <c r="S9" s="225">
        <f>'ANNEXE 1 Grille'!B6*($R$28-$S$26)</f>
        <v>0</v>
      </c>
      <c r="T9" s="225">
        <f t="shared" si="6"/>
        <v>0</v>
      </c>
      <c r="U9" s="696">
        <f t="shared" si="7"/>
        <v>1625.0199045657537</v>
      </c>
      <c r="V9" s="224">
        <f>$U$28*'ANNEXE 1 Grille'!B6</f>
        <v>1236.8924214514068</v>
      </c>
      <c r="W9" s="225">
        <f t="shared" si="8"/>
        <v>388.12748311434689</v>
      </c>
      <c r="X9" s="225">
        <f t="shared" si="9"/>
        <v>0</v>
      </c>
      <c r="Y9" s="224">
        <f>$X$28*'ANNEXE 1 Grille'!B6</f>
        <v>0</v>
      </c>
      <c r="Z9" s="225">
        <f t="shared" si="10"/>
        <v>0</v>
      </c>
      <c r="AA9" s="710">
        <f>' DETAIL MONOPOLES'!B6</f>
        <v>2121.326357119307</v>
      </c>
      <c r="AB9" s="227">
        <v>10198.781552749755</v>
      </c>
      <c r="AC9" s="570">
        <f t="shared" si="2"/>
        <v>11090.540386280507</v>
      </c>
      <c r="AD9" s="224">
        <f>'ANNEXE 1 Grille'!B6*$AC$28</f>
        <v>8213.0295817621154</v>
      </c>
      <c r="AE9" s="225">
        <f t="shared" si="11"/>
        <v>2877.5108045183911</v>
      </c>
      <c r="AF9" s="665">
        <v>0</v>
      </c>
    </row>
    <row r="10" spans="1:32" x14ac:dyDescent="0.2">
      <c r="A10" s="682" t="s">
        <v>22</v>
      </c>
      <c r="B10" s="662">
        <f t="shared" si="3"/>
        <v>10296.491567867319</v>
      </c>
      <c r="C10" s="448">
        <f>'IRI FR VT'!C9</f>
        <v>1708.1817310939641</v>
      </c>
      <c r="D10" s="448">
        <f>'IRI FR EFF'!B9</f>
        <v>0</v>
      </c>
      <c r="E10" s="570">
        <f>KANTAR!B9</f>
        <v>1791.010116273598</v>
      </c>
      <c r="F10" s="696">
        <f t="shared" si="4"/>
        <v>586.57026103114595</v>
      </c>
      <c r="G10" s="226">
        <f>'ANNEXE 1 Grille'!$B7*($F$28-$F$26)</f>
        <v>165.8270777141494</v>
      </c>
      <c r="H10" s="225">
        <f t="shared" si="5"/>
        <v>420.74318331699658</v>
      </c>
      <c r="I10" s="696">
        <f>'PANEL CHR FRANCE'!F9</f>
        <v>407.82661159600968</v>
      </c>
      <c r="J10" s="696">
        <f t="shared" si="0"/>
        <v>708.61887816768569</v>
      </c>
      <c r="K10" s="226">
        <f>'ANNEXE 1 Grille'!$B7*($J$28-$J$26)</f>
        <v>145.09869299988074</v>
      </c>
      <c r="L10" s="225">
        <f t="shared" si="12"/>
        <v>563.52018516780493</v>
      </c>
      <c r="M10" s="564">
        <f>'IRI UK'!B9+'IRI UK'!G9</f>
        <v>1078.0069989141341</v>
      </c>
      <c r="N10" s="570">
        <f>'IRI ALL'!B9</f>
        <v>801.14461842365358</v>
      </c>
      <c r="O10" s="570">
        <f>'IRI PB'!B9</f>
        <v>1308.1695747294989</v>
      </c>
      <c r="P10" s="570">
        <f>GfK!B9</f>
        <v>573.51011369283094</v>
      </c>
      <c r="Q10" s="570">
        <f>GfK!F9</f>
        <v>440.56004188222045</v>
      </c>
      <c r="R10" s="225">
        <f t="shared" si="1"/>
        <v>0</v>
      </c>
      <c r="S10" s="225">
        <f>'ANNEXE 1 Grille'!B7*($R$28-$S$26)</f>
        <v>0</v>
      </c>
      <c r="T10" s="225">
        <f t="shared" si="6"/>
        <v>0</v>
      </c>
      <c r="U10" s="696">
        <f t="shared" si="7"/>
        <v>458.74079848197459</v>
      </c>
      <c r="V10" s="224">
        <f>$U$28*'ANNEXE 1 Grille'!B7</f>
        <v>70.613315367627678</v>
      </c>
      <c r="W10" s="225">
        <f t="shared" si="8"/>
        <v>388.12748311434689</v>
      </c>
      <c r="X10" s="225">
        <f t="shared" si="9"/>
        <v>0</v>
      </c>
      <c r="Y10" s="224">
        <f>$X$28*'ANNEXE 1 Grille'!B7</f>
        <v>0</v>
      </c>
      <c r="Z10" s="225">
        <f t="shared" si="10"/>
        <v>0</v>
      </c>
      <c r="AA10" s="710">
        <f>' DETAIL MONOPOLES'!B7</f>
        <v>434.1518235806019</v>
      </c>
      <c r="AB10" s="227">
        <v>0</v>
      </c>
      <c r="AC10" s="570">
        <f t="shared" si="2"/>
        <v>0</v>
      </c>
      <c r="AD10" s="224"/>
      <c r="AE10" s="225">
        <f t="shared" si="11"/>
        <v>0</v>
      </c>
      <c r="AF10" s="665">
        <v>0</v>
      </c>
    </row>
    <row r="11" spans="1:32" x14ac:dyDescent="0.2">
      <c r="A11" s="682" t="s">
        <v>23</v>
      </c>
      <c r="B11" s="662">
        <f t="shared" si="3"/>
        <v>2641.4985282422786</v>
      </c>
      <c r="C11" s="448">
        <f>'IRI FR VT'!C10</f>
        <v>0</v>
      </c>
      <c r="D11" s="448">
        <f>'IRI FR EFF'!B10</f>
        <v>0</v>
      </c>
      <c r="E11" s="570">
        <f>KANTAR!B10</f>
        <v>0</v>
      </c>
      <c r="F11" s="696">
        <f t="shared" si="4"/>
        <v>0</v>
      </c>
      <c r="G11" s="226"/>
      <c r="H11" s="225">
        <f t="shared" si="5"/>
        <v>0</v>
      </c>
      <c r="I11" s="696">
        <f>'PANEL CHR FRANCE'!F10</f>
        <v>1304.9166342304704</v>
      </c>
      <c r="J11" s="696">
        <f t="shared" si="0"/>
        <v>1336.5818940118083</v>
      </c>
      <c r="K11" s="226">
        <f>'ANNEXE 1 Grille'!$B8*($J$28-$J$26)</f>
        <v>773.06170884400331</v>
      </c>
      <c r="L11" s="225">
        <f t="shared" si="12"/>
        <v>563.52018516780493</v>
      </c>
      <c r="M11" s="564">
        <f>'IRI UK'!B10+'IRI UK'!G10</f>
        <v>0</v>
      </c>
      <c r="N11" s="570">
        <f>'IRI ALL'!B10</f>
        <v>0</v>
      </c>
      <c r="O11" s="570">
        <f>'IRI PB'!B10</f>
        <v>0</v>
      </c>
      <c r="P11" s="570">
        <f>GfK!B10</f>
        <v>0</v>
      </c>
      <c r="Q11" s="570">
        <f>GfK!F10</f>
        <v>0</v>
      </c>
      <c r="R11" s="225">
        <f t="shared" si="1"/>
        <v>0</v>
      </c>
      <c r="S11" s="225"/>
      <c r="T11" s="225">
        <f t="shared" si="6"/>
        <v>0</v>
      </c>
      <c r="U11" s="696">
        <f t="shared" si="7"/>
        <v>0</v>
      </c>
      <c r="V11" s="224"/>
      <c r="W11" s="225">
        <f t="shared" si="8"/>
        <v>0</v>
      </c>
      <c r="X11" s="225">
        <f t="shared" si="9"/>
        <v>0</v>
      </c>
      <c r="Y11" s="224">
        <f>$X$28*'ANNEXE 1 Grille'!B8</f>
        <v>0</v>
      </c>
      <c r="Z11" s="225">
        <f t="shared" si="10"/>
        <v>0</v>
      </c>
      <c r="AA11" s="710">
        <f>' DETAIL MONOPOLES'!B8</f>
        <v>0</v>
      </c>
      <c r="AB11" s="227">
        <v>0</v>
      </c>
      <c r="AC11" s="570">
        <f t="shared" si="2"/>
        <v>0</v>
      </c>
      <c r="AD11" s="224"/>
      <c r="AE11" s="225">
        <f t="shared" si="11"/>
        <v>0</v>
      </c>
      <c r="AF11" s="665">
        <v>0</v>
      </c>
    </row>
    <row r="12" spans="1:32" x14ac:dyDescent="0.2">
      <c r="A12" s="682" t="s">
        <v>24</v>
      </c>
      <c r="B12" s="662">
        <f t="shared" si="3"/>
        <v>606.53653916612791</v>
      </c>
      <c r="C12" s="448">
        <f>'IRI FR VT'!C11</f>
        <v>0</v>
      </c>
      <c r="D12" s="448">
        <f>'IRI FR EFF'!B11</f>
        <v>0</v>
      </c>
      <c r="E12" s="570">
        <f>KANTAR!B11</f>
        <v>0</v>
      </c>
      <c r="F12" s="696">
        <f t="shared" si="4"/>
        <v>0</v>
      </c>
      <c r="G12" s="226"/>
      <c r="H12" s="225">
        <f t="shared" si="5"/>
        <v>0</v>
      </c>
      <c r="I12" s="696">
        <f>'PANEL CHR FRANCE'!F11</f>
        <v>606.53653916612791</v>
      </c>
      <c r="J12" s="696">
        <f t="shared" si="0"/>
        <v>0</v>
      </c>
      <c r="K12" s="226"/>
      <c r="L12" s="225">
        <f>IF(K12&lt;&gt;0,$K$27/J$28,K12)</f>
        <v>0</v>
      </c>
      <c r="M12" s="564">
        <f>'IRI UK'!B11+'IRI UK'!G11</f>
        <v>0</v>
      </c>
      <c r="N12" s="570">
        <f>'IRI ALL'!B11</f>
        <v>0</v>
      </c>
      <c r="O12" s="570">
        <f>'IRI PB'!B11</f>
        <v>0</v>
      </c>
      <c r="P12" s="570">
        <f>GfK!B11</f>
        <v>0</v>
      </c>
      <c r="Q12" s="570">
        <f>GfK!F11</f>
        <v>0</v>
      </c>
      <c r="R12" s="225">
        <f t="shared" si="1"/>
        <v>0</v>
      </c>
      <c r="S12" s="225"/>
      <c r="T12" s="225">
        <f t="shared" si="6"/>
        <v>0</v>
      </c>
      <c r="U12" s="696">
        <f t="shared" si="7"/>
        <v>0</v>
      </c>
      <c r="V12" s="224"/>
      <c r="W12" s="225">
        <f t="shared" si="8"/>
        <v>0</v>
      </c>
      <c r="X12" s="225">
        <f t="shared" si="9"/>
        <v>0</v>
      </c>
      <c r="Y12" s="224"/>
      <c r="Z12" s="225">
        <f t="shared" si="10"/>
        <v>0</v>
      </c>
      <c r="AA12" s="710">
        <f>' DETAIL MONOPOLES'!B9</f>
        <v>0</v>
      </c>
      <c r="AB12" s="227">
        <v>0</v>
      </c>
      <c r="AC12" s="570">
        <f t="shared" si="2"/>
        <v>0</v>
      </c>
      <c r="AD12" s="224"/>
      <c r="AE12" s="225">
        <f t="shared" si="11"/>
        <v>0</v>
      </c>
      <c r="AF12" s="665">
        <v>0</v>
      </c>
    </row>
    <row r="13" spans="1:32" x14ac:dyDescent="0.2">
      <c r="A13" s="682" t="s">
        <v>25</v>
      </c>
      <c r="B13" s="662">
        <f t="shared" si="3"/>
        <v>84272.764602967349</v>
      </c>
      <c r="C13" s="448">
        <f>'IRI FR VT'!C12</f>
        <v>0</v>
      </c>
      <c r="D13" s="448">
        <f>'IRI FR EFF'!B12</f>
        <v>4610.9029823606852</v>
      </c>
      <c r="E13" s="570">
        <f>KANTAR!B12</f>
        <v>15802.908681447781</v>
      </c>
      <c r="F13" s="696">
        <f t="shared" si="4"/>
        <v>6089.7289737179981</v>
      </c>
      <c r="G13" s="226">
        <f>'ANNEXE 1 Grille'!$B10*($F$28-$F$26)</f>
        <v>5668.9857904010014</v>
      </c>
      <c r="H13" s="225">
        <f t="shared" si="5"/>
        <v>420.74318331699658</v>
      </c>
      <c r="I13" s="696">
        <f>'PANEL CHR FRANCE'!F12</f>
        <v>7286.775002454574</v>
      </c>
      <c r="J13" s="696">
        <f t="shared" si="0"/>
        <v>0</v>
      </c>
      <c r="K13" s="226"/>
      <c r="L13" s="225">
        <f>IF(K13&lt;&gt;0,$K$27/J$28,K13)</f>
        <v>0</v>
      </c>
      <c r="M13" s="564">
        <f>'IRI UK'!B12+'IRI UK'!G12</f>
        <v>11191.788761363085</v>
      </c>
      <c r="N13" s="570">
        <f>'IRI ALL'!B12</f>
        <v>8317.4240480182089</v>
      </c>
      <c r="O13" s="570">
        <f>'IRI PB'!B12</f>
        <v>0</v>
      </c>
      <c r="P13" s="570">
        <f>GfK!B12</f>
        <v>5239.5882449139008</v>
      </c>
      <c r="Q13" s="570">
        <f>GfK!F12</f>
        <v>4024.9564245020424</v>
      </c>
      <c r="R13" s="225">
        <f t="shared" si="1"/>
        <v>0</v>
      </c>
      <c r="S13" s="225"/>
      <c r="T13" s="225">
        <f t="shared" si="6"/>
        <v>0</v>
      </c>
      <c r="U13" s="696">
        <f t="shared" si="7"/>
        <v>2802.1233573118529</v>
      </c>
      <c r="V13" s="224">
        <f>$U$28*'ANNEXE 1 Grille'!B10</f>
        <v>2413.9958741975061</v>
      </c>
      <c r="W13" s="225">
        <f t="shared" si="8"/>
        <v>388.12748311434689</v>
      </c>
      <c r="X13" s="225">
        <f t="shared" si="9"/>
        <v>0</v>
      </c>
      <c r="Y13" s="224">
        <f>$X$28*'ANNEXE 1 Grille'!B10</f>
        <v>0</v>
      </c>
      <c r="Z13" s="225">
        <f t="shared" si="10"/>
        <v>0</v>
      </c>
      <c r="AA13" s="710">
        <f>' DETAIL MONOPOLES'!B10</f>
        <v>0</v>
      </c>
      <c r="AB13" s="227">
        <v>17356.145084006781</v>
      </c>
      <c r="AC13" s="570">
        <f t="shared" si="2"/>
        <v>18906.56812687722</v>
      </c>
      <c r="AD13" s="224">
        <f>'ANNEXE 1 Grille'!B10*$AC$28</f>
        <v>16029.057322358831</v>
      </c>
      <c r="AE13" s="225">
        <f t="shared" si="11"/>
        <v>2877.5108045183911</v>
      </c>
      <c r="AF13" s="665">
        <v>0</v>
      </c>
    </row>
    <row r="14" spans="1:32" x14ac:dyDescent="0.2">
      <c r="A14" s="682" t="s">
        <v>26</v>
      </c>
      <c r="B14" s="662">
        <f t="shared" si="3"/>
        <v>91201.115825418121</v>
      </c>
      <c r="C14" s="448">
        <f>'IRI FR VT'!C13</f>
        <v>30919.875117248564</v>
      </c>
      <c r="D14" s="448">
        <f>'IRI FR EFF'!B13</f>
        <v>2832.6310760725637</v>
      </c>
      <c r="E14" s="570">
        <f>KANTAR!B13</f>
        <v>8926.280310579994</v>
      </c>
      <c r="F14" s="696">
        <f t="shared" si="4"/>
        <v>3388.9402720992302</v>
      </c>
      <c r="G14" s="226">
        <f>'ANNEXE 1 Grille'!$B11*($F$28-$F$26)</f>
        <v>2968.1970887822335</v>
      </c>
      <c r="H14" s="225">
        <f t="shared" si="5"/>
        <v>420.74318331699658</v>
      </c>
      <c r="I14" s="696">
        <f>'PANEL CHR FRANCE'!F13</f>
        <v>3910.7891254311148</v>
      </c>
      <c r="J14" s="696">
        <f t="shared" si="0"/>
        <v>3160.6926378522589</v>
      </c>
      <c r="K14" s="226">
        <f>'ANNEXE 1 Grille'!$B11*($J$28-$J$26)</f>
        <v>2597.1724526844541</v>
      </c>
      <c r="L14" s="225">
        <f t="shared" ref="L14:L15" si="13">IF(K14&lt;&gt;0,$K$27/K$29,K14)</f>
        <v>563.52018516780493</v>
      </c>
      <c r="M14" s="564">
        <f>'IRI UK'!B13+'IRI UK'!G13</f>
        <v>9133.3266017904461</v>
      </c>
      <c r="N14" s="570">
        <f>'IRI ALL'!B13</f>
        <v>4628.6548117503798</v>
      </c>
      <c r="O14" s="570">
        <f>'IRI PB'!B13</f>
        <v>4782.9915005462772</v>
      </c>
      <c r="P14" s="570">
        <f>GfK!B13</f>
        <v>2949.6141126724087</v>
      </c>
      <c r="Q14" s="570">
        <f>GfK!F13</f>
        <v>2265.8399320074418</v>
      </c>
      <c r="R14" s="225">
        <f t="shared" si="1"/>
        <v>0</v>
      </c>
      <c r="S14" s="225">
        <f>'ANNEXE 1 Grille'!B11*($R$28-$S$26)</f>
        <v>0</v>
      </c>
      <c r="T14" s="225">
        <f t="shared" si="6"/>
        <v>0</v>
      </c>
      <c r="U14" s="696">
        <f t="shared" si="7"/>
        <v>1652.0600084450414</v>
      </c>
      <c r="V14" s="224">
        <f>$U$28*'ANNEXE 1 Grille'!B11</f>
        <v>1263.9325253306945</v>
      </c>
      <c r="W14" s="225">
        <f t="shared" si="8"/>
        <v>388.12748311434689</v>
      </c>
      <c r="X14" s="225">
        <f t="shared" si="9"/>
        <v>0</v>
      </c>
      <c r="Y14" s="224">
        <f>$X$28*'ANNEXE 1 Grille'!B11</f>
        <v>0</v>
      </c>
      <c r="Z14" s="225">
        <f t="shared" si="10"/>
        <v>0</v>
      </c>
      <c r="AA14" s="710">
        <f>' DETAIL MONOPOLES'!B11</f>
        <v>1379.3322458722446</v>
      </c>
      <c r="AB14" s="227">
        <v>10187.094534628401</v>
      </c>
      <c r="AC14" s="570">
        <f t="shared" si="2"/>
        <v>11270.088073050156</v>
      </c>
      <c r="AD14" s="224">
        <f>'ANNEXE 1 Grille'!B11*$AC$28</f>
        <v>8392.5772685317643</v>
      </c>
      <c r="AE14" s="225">
        <f t="shared" si="11"/>
        <v>2877.5108045183911</v>
      </c>
      <c r="AF14" s="665">
        <v>0</v>
      </c>
    </row>
    <row r="15" spans="1:32" x14ac:dyDescent="0.2">
      <c r="A15" s="682" t="s">
        <v>27</v>
      </c>
      <c r="B15" s="662">
        <f t="shared" si="3"/>
        <v>100123.13204433111</v>
      </c>
      <c r="C15" s="448">
        <f>'IRI FR VT'!C14</f>
        <v>45344.239682400766</v>
      </c>
      <c r="D15" s="448">
        <f>'IRI FR EFF'!B14</f>
        <v>2573.075363044346</v>
      </c>
      <c r="E15" s="570">
        <f>KANTAR!B14</f>
        <v>7922.5709376099694</v>
      </c>
      <c r="F15" s="696">
        <f t="shared" si="4"/>
        <v>2994.7344508699798</v>
      </c>
      <c r="G15" s="226">
        <f>'ANNEXE 1 Grille'!$B12*($F$28-$F$26)</f>
        <v>2573.9912675529831</v>
      </c>
      <c r="H15" s="225">
        <f t="shared" si="5"/>
        <v>420.74318331699658</v>
      </c>
      <c r="I15" s="696">
        <f>'PANEL CHR FRANCE'!F14</f>
        <v>3418.0318488945518</v>
      </c>
      <c r="J15" s="696">
        <f t="shared" si="0"/>
        <v>2815.7625442766648</v>
      </c>
      <c r="K15" s="226">
        <f>'ANNEXE 1 Grille'!$B12*($J$28-$J$26)</f>
        <v>2252.24235910886</v>
      </c>
      <c r="L15" s="225">
        <f t="shared" si="13"/>
        <v>563.52018516780493</v>
      </c>
      <c r="M15" s="564">
        <f>'IRI UK'!B14+'IRI UK'!G14</f>
        <v>8408.8496507244563</v>
      </c>
      <c r="N15" s="570">
        <f>'IRI ALL'!B14</f>
        <v>4090.2438263828117</v>
      </c>
      <c r="O15" s="570">
        <f>'IRI PB'!B14</f>
        <v>4294.1927246951427</v>
      </c>
      <c r="P15" s="570">
        <f>GfK!B14</f>
        <v>2615.3705886037042</v>
      </c>
      <c r="Q15" s="570">
        <f>GfK!F14</f>
        <v>2009.0801339728464</v>
      </c>
      <c r="R15" s="225">
        <f t="shared" si="1"/>
        <v>0</v>
      </c>
      <c r="S15" s="225">
        <f>'ANNEXE 1 Grille'!B12*($R$28-$S$26)</f>
        <v>0</v>
      </c>
      <c r="T15" s="225">
        <f t="shared" si="6"/>
        <v>0</v>
      </c>
      <c r="U15" s="696">
        <f t="shared" si="7"/>
        <v>1484.197314620096</v>
      </c>
      <c r="V15" s="224">
        <f>$U$28*'ANNEXE 1 Grille'!B12</f>
        <v>1096.0698315057491</v>
      </c>
      <c r="W15" s="225">
        <f t="shared" si="8"/>
        <v>388.12748311434689</v>
      </c>
      <c r="X15" s="225">
        <f t="shared" si="9"/>
        <v>0</v>
      </c>
      <c r="Y15" s="224">
        <f>$X$28*'ANNEXE 1 Grille'!B12</f>
        <v>0</v>
      </c>
      <c r="Z15" s="225">
        <f t="shared" si="10"/>
        <v>0</v>
      </c>
      <c r="AA15" s="710">
        <f>' DETAIL MONOPOLES'!B12</f>
        <v>1997.3118647113417</v>
      </c>
      <c r="AB15" s="227">
        <v>9436.1574454954534</v>
      </c>
      <c r="AC15" s="570">
        <f t="shared" si="2"/>
        <v>10155.471113524451</v>
      </c>
      <c r="AD15" s="224">
        <f>'ANNEXE 1 Grille'!B12*$AC$28</f>
        <v>7277.9603090060591</v>
      </c>
      <c r="AE15" s="225">
        <f t="shared" si="11"/>
        <v>2877.5108045183911</v>
      </c>
      <c r="AF15" s="665">
        <v>0</v>
      </c>
    </row>
    <row r="16" spans="1:32" x14ac:dyDescent="0.2">
      <c r="A16" s="682" t="s">
        <v>28</v>
      </c>
      <c r="B16" s="662">
        <f t="shared" si="3"/>
        <v>399.17825301529371</v>
      </c>
      <c r="C16" s="448">
        <f>'IRI FR VT'!C15</f>
        <v>0</v>
      </c>
      <c r="D16" s="448">
        <f>'IRI FR EFF'!B15</f>
        <v>0</v>
      </c>
      <c r="E16" s="570">
        <f>KANTAR!B15</f>
        <v>0</v>
      </c>
      <c r="F16" s="696">
        <f t="shared" si="4"/>
        <v>0</v>
      </c>
      <c r="G16" s="226"/>
      <c r="H16" s="225">
        <f t="shared" si="5"/>
        <v>0</v>
      </c>
      <c r="I16" s="696">
        <f>'PANEL CHR FRANCE'!F15</f>
        <v>399.17825301529371</v>
      </c>
      <c r="J16" s="696">
        <f t="shared" si="0"/>
        <v>0</v>
      </c>
      <c r="K16" s="226"/>
      <c r="L16" s="225">
        <f>IF(K16&lt;&gt;0,$K$27/J$28,K16)</f>
        <v>0</v>
      </c>
      <c r="M16" s="564">
        <f>'IRI UK'!B15+'IRI UK'!G15</f>
        <v>0</v>
      </c>
      <c r="N16" s="570">
        <f>'IRI ALL'!B15</f>
        <v>0</v>
      </c>
      <c r="O16" s="570">
        <f>'IRI PB'!B15</f>
        <v>0</v>
      </c>
      <c r="P16" s="570">
        <f>GfK!B15</f>
        <v>0</v>
      </c>
      <c r="Q16" s="570">
        <f>GfK!F15</f>
        <v>0</v>
      </c>
      <c r="R16" s="225">
        <f t="shared" si="1"/>
        <v>0</v>
      </c>
      <c r="S16" s="225"/>
      <c r="T16" s="225">
        <f t="shared" si="6"/>
        <v>0</v>
      </c>
      <c r="U16" s="696">
        <f t="shared" si="7"/>
        <v>0</v>
      </c>
      <c r="V16" s="224"/>
      <c r="W16" s="225">
        <f t="shared" si="8"/>
        <v>0</v>
      </c>
      <c r="X16" s="225">
        <f t="shared" si="9"/>
        <v>0</v>
      </c>
      <c r="Y16" s="224"/>
      <c r="Z16" s="225">
        <f t="shared" si="10"/>
        <v>0</v>
      </c>
      <c r="AA16" s="710">
        <f>' DETAIL MONOPOLES'!B13</f>
        <v>0</v>
      </c>
      <c r="AB16" s="227">
        <v>0</v>
      </c>
      <c r="AC16" s="570">
        <f t="shared" si="2"/>
        <v>0</v>
      </c>
      <c r="AD16" s="224"/>
      <c r="AE16" s="225">
        <f t="shared" si="11"/>
        <v>0</v>
      </c>
      <c r="AF16" s="665">
        <v>0</v>
      </c>
    </row>
    <row r="17" spans="1:32" x14ac:dyDescent="0.2">
      <c r="A17" s="682" t="s">
        <v>29</v>
      </c>
      <c r="B17" s="662">
        <f t="shared" si="3"/>
        <v>53913.219724520364</v>
      </c>
      <c r="C17" s="448">
        <f>'IRI FR VT'!C16</f>
        <v>20349.794201084416</v>
      </c>
      <c r="D17" s="448">
        <f>'IRI FR EFF'!B16</f>
        <v>0</v>
      </c>
      <c r="E17" s="570">
        <f>KANTAR!B16</f>
        <v>5219.0663620891883</v>
      </c>
      <c r="F17" s="696">
        <f t="shared" si="4"/>
        <v>1932.9358166332204</v>
      </c>
      <c r="G17" s="226">
        <f>'ANNEXE 1 Grille'!$B14*($F$28-$F$26)</f>
        <v>1512.1926333162237</v>
      </c>
      <c r="H17" s="225">
        <f t="shared" si="5"/>
        <v>420.74318331699658</v>
      </c>
      <c r="I17" s="696">
        <f>'PANEL CHR FRANCE'!F16</f>
        <v>2090.7835560986023</v>
      </c>
      <c r="J17" s="696">
        <f t="shared" si="0"/>
        <v>1886.6887393195007</v>
      </c>
      <c r="K17" s="226">
        <f>'ANNEXE 1 Grille'!$B14*($J$28-$J$26)</f>
        <v>1323.1685541516956</v>
      </c>
      <c r="L17" s="225">
        <f t="shared" ref="L17:L21" si="14">IF(K17&lt;&gt;0,$K$27/K$29,K17)</f>
        <v>563.52018516780493</v>
      </c>
      <c r="M17" s="564">
        <f>'IRI UK'!B16+'IRI UK'!G16</f>
        <v>3999.312523028234</v>
      </c>
      <c r="N17" s="570">
        <f>'IRI ALL'!B16</f>
        <v>2640.026660287519</v>
      </c>
      <c r="O17" s="570">
        <f>'IRI PB'!B16</f>
        <v>2977.6067062621323</v>
      </c>
      <c r="P17" s="570">
        <f>GfK!B16</f>
        <v>1715.0812010651068</v>
      </c>
      <c r="Q17" s="570">
        <f>GfK!F16</f>
        <v>1317.4941953636508</v>
      </c>
      <c r="R17" s="225">
        <f t="shared" si="1"/>
        <v>0</v>
      </c>
      <c r="S17" s="225">
        <f>'ANNEXE 1 Grille'!B14*($R$28-$S$26)</f>
        <v>0</v>
      </c>
      <c r="T17" s="225">
        <f t="shared" si="6"/>
        <v>0</v>
      </c>
      <c r="U17" s="696">
        <f t="shared" si="7"/>
        <v>1032.0569111962277</v>
      </c>
      <c r="V17" s="224">
        <f>$U$28*'ANNEXE 1 Grille'!B14</f>
        <v>643.92942808188093</v>
      </c>
      <c r="W17" s="225">
        <f t="shared" si="8"/>
        <v>388.12748311434689</v>
      </c>
      <c r="X17" s="225">
        <f t="shared" si="9"/>
        <v>0</v>
      </c>
      <c r="Y17" s="224">
        <f>$X$28*'ANNEXE 1 Grille'!B14</f>
        <v>0</v>
      </c>
      <c r="Z17" s="225">
        <f t="shared" si="10"/>
        <v>0</v>
      </c>
      <c r="AA17" s="710">
        <f>' DETAIL MONOPOLES'!B14</f>
        <v>1599.1373768725571</v>
      </c>
      <c r="AB17" s="227">
        <v>6590.713410630784</v>
      </c>
      <c r="AC17" s="570">
        <f t="shared" si="2"/>
        <v>7153.2354752200135</v>
      </c>
      <c r="AD17" s="224">
        <f>'ANNEXE 1 Grille'!B14*$AC$28</f>
        <v>4275.724670701622</v>
      </c>
      <c r="AE17" s="225">
        <f t="shared" si="11"/>
        <v>2877.5108045183911</v>
      </c>
      <c r="AF17" s="665">
        <v>0</v>
      </c>
    </row>
    <row r="18" spans="1:32" x14ac:dyDescent="0.2">
      <c r="A18" s="682" t="s">
        <v>30</v>
      </c>
      <c r="B18" s="662">
        <f t="shared" si="3"/>
        <v>110342.80958863048</v>
      </c>
      <c r="C18" s="448">
        <f>'IRI FR VT'!C17</f>
        <v>44906.803830872042</v>
      </c>
      <c r="D18" s="448">
        <f>'IRI FR EFF'!B17</f>
        <v>3014.3718212441704</v>
      </c>
      <c r="E18" s="570">
        <f>KANTAR!B17</f>
        <v>9629.0769751229436</v>
      </c>
      <c r="F18" s="696">
        <f t="shared" si="4"/>
        <v>3664.962937388822</v>
      </c>
      <c r="G18" s="226">
        <f>'ANNEXE 1 Grille'!$B15*($F$28-$F$26)</f>
        <v>3244.2197540718253</v>
      </c>
      <c r="H18" s="225">
        <f t="shared" si="5"/>
        <v>420.74318331699658</v>
      </c>
      <c r="I18" s="696">
        <f>'PANEL CHR FRANCE'!F17</f>
        <v>4255.8174570431047</v>
      </c>
      <c r="J18" s="696">
        <f t="shared" si="0"/>
        <v>3402.2124699806518</v>
      </c>
      <c r="K18" s="226">
        <f>'ANNEXE 1 Grille'!$B15*($J$28-$J$26)</f>
        <v>2838.692284812847</v>
      </c>
      <c r="L18" s="225">
        <f t="shared" si="14"/>
        <v>563.52018516780493</v>
      </c>
      <c r="M18" s="564">
        <f>'IRI UK'!B17+'IRI UK'!G17</f>
        <v>9640.6049021223371</v>
      </c>
      <c r="N18" s="570">
        <f>'IRI ALL'!B17</f>
        <v>5005.6498412477386</v>
      </c>
      <c r="O18" s="570">
        <f>'IRI PB'!B17</f>
        <v>5125.2480924961392</v>
      </c>
      <c r="P18" s="570">
        <f>GfK!B17</f>
        <v>3183.6512156292838</v>
      </c>
      <c r="Q18" s="570">
        <f>GfK!F17</f>
        <v>2445.6229792788595</v>
      </c>
      <c r="R18" s="225">
        <f t="shared" si="1"/>
        <v>0</v>
      </c>
      <c r="S18" s="225">
        <f>'ANNEXE 1 Grille'!B15*($R$28-$S$26)</f>
        <v>0</v>
      </c>
      <c r="T18" s="225">
        <f t="shared" si="6"/>
        <v>0</v>
      </c>
      <c r="U18" s="696">
        <f t="shared" si="7"/>
        <v>1769.597359891982</v>
      </c>
      <c r="V18" s="224">
        <f>$U$28*'ANNEXE 1 Grille'!B15</f>
        <v>1381.4698767776351</v>
      </c>
      <c r="W18" s="225">
        <f t="shared" si="8"/>
        <v>388.12748311434689</v>
      </c>
      <c r="X18" s="225">
        <f t="shared" si="9"/>
        <v>0</v>
      </c>
      <c r="Y18" s="224">
        <f>$X$28*'ANNEXE 1 Grille'!B15</f>
        <v>0</v>
      </c>
      <c r="Z18" s="225">
        <f t="shared" si="10"/>
        <v>0</v>
      </c>
      <c r="AA18" s="710">
        <f>' DETAIL MONOPOLES'!B15</f>
        <v>2248.6475471559079</v>
      </c>
      <c r="AB18" s="227">
        <v>11022.789114625011</v>
      </c>
      <c r="AC18" s="570">
        <f t="shared" si="2"/>
        <v>12050.542159156477</v>
      </c>
      <c r="AD18" s="224">
        <f>'ANNEXE 1 Grille'!B15*$AC$28</f>
        <v>9173.0313546380858</v>
      </c>
      <c r="AE18" s="225">
        <f t="shared" si="11"/>
        <v>2877.5108045183911</v>
      </c>
      <c r="AF18" s="665">
        <v>0</v>
      </c>
    </row>
    <row r="19" spans="1:32" x14ac:dyDescent="0.2">
      <c r="A19" s="682" t="s">
        <v>31</v>
      </c>
      <c r="B19" s="662">
        <f t="shared" si="3"/>
        <v>36880.217656698282</v>
      </c>
      <c r="C19" s="448">
        <f>'IRI FR VT'!C18</f>
        <v>22620.163840760637</v>
      </c>
      <c r="D19" s="448">
        <f>'IRI FR EFF'!B18</f>
        <v>0</v>
      </c>
      <c r="E19" s="570">
        <f>KANTAR!B18</f>
        <v>3082.2752498115588</v>
      </c>
      <c r="F19" s="696">
        <f t="shared" si="4"/>
        <v>1093.7133107017917</v>
      </c>
      <c r="G19" s="226">
        <f>'ANNEXE 1 Grille'!$B16*($F$28-$F$26)</f>
        <v>672.97012738479498</v>
      </c>
      <c r="H19" s="225">
        <f t="shared" si="5"/>
        <v>420.74318331699658</v>
      </c>
      <c r="I19" s="696">
        <f>'PANEL CHR FRANCE'!F18</f>
        <v>1041.7554236843166</v>
      </c>
      <c r="J19" s="696">
        <f t="shared" si="0"/>
        <v>1152.3690466295006</v>
      </c>
      <c r="K19" s="226">
        <f>'ANNEXE 1 Grille'!$B16*($J$28-$J$26)</f>
        <v>588.84886146169561</v>
      </c>
      <c r="L19" s="225">
        <f t="shared" si="14"/>
        <v>563.52018516780493</v>
      </c>
      <c r="M19" s="564">
        <f>'IRI UK'!B18+'IRI UK'!G18</f>
        <v>2010.0415620618646</v>
      </c>
      <c r="N19" s="570">
        <f>'IRI ALL'!B18</f>
        <v>1493.8066096749008</v>
      </c>
      <c r="O19" s="570">
        <f>'IRI PB'!B18</f>
        <v>1937.0058031936683</v>
      </c>
      <c r="P19" s="570">
        <f>GfK!B18</f>
        <v>1003.5120847451266</v>
      </c>
      <c r="Q19" s="570">
        <f>GfK!F18</f>
        <v>770.87973782693859</v>
      </c>
      <c r="R19" s="225">
        <f t="shared" si="1"/>
        <v>0</v>
      </c>
      <c r="S19" s="225">
        <f>'ANNEXE 1 Grille'!B16*($R$28-$S$26)</f>
        <v>0</v>
      </c>
      <c r="T19" s="225">
        <f t="shared" si="6"/>
        <v>0</v>
      </c>
      <c r="U19" s="696">
        <f t="shared" si="7"/>
        <v>674.69498760797728</v>
      </c>
      <c r="V19" s="224">
        <f>$U$28*'ANNEXE 1 Grille'!B16</f>
        <v>286.56750449363034</v>
      </c>
      <c r="W19" s="225">
        <f t="shared" si="8"/>
        <v>388.12748311434689</v>
      </c>
      <c r="X19" s="225">
        <f t="shared" si="9"/>
        <v>0</v>
      </c>
      <c r="Y19" s="224">
        <f>$X$28*'ANNEXE 1 Grille'!B16</f>
        <v>0</v>
      </c>
      <c r="Z19" s="225">
        <f t="shared" si="10"/>
        <v>0</v>
      </c>
      <c r="AA19" s="710">
        <f>' DETAIL MONOPOLES'!B16</f>
        <v>0</v>
      </c>
      <c r="AB19" s="227">
        <v>0</v>
      </c>
      <c r="AC19" s="570">
        <f t="shared" si="2"/>
        <v>0</v>
      </c>
      <c r="AD19" s="224"/>
      <c r="AE19" s="225">
        <f t="shared" si="11"/>
        <v>0</v>
      </c>
      <c r="AF19" s="665">
        <v>0</v>
      </c>
    </row>
    <row r="20" spans="1:32" x14ac:dyDescent="0.2">
      <c r="A20" s="682" t="s">
        <v>32</v>
      </c>
      <c r="B20" s="662">
        <f t="shared" si="3"/>
        <v>41864.894382533552</v>
      </c>
      <c r="C20" s="448">
        <f>'IRI FR VT'!C19</f>
        <v>20631.868704841119</v>
      </c>
      <c r="D20" s="448">
        <f>'IRI FR EFF'!B19</f>
        <v>0</v>
      </c>
      <c r="E20" s="570">
        <f>KANTAR!B19</f>
        <v>4413.8993524157404</v>
      </c>
      <c r="F20" s="696">
        <f t="shared" si="4"/>
        <v>1616.707303855846</v>
      </c>
      <c r="G20" s="226">
        <f>'ANNEXE 1 Grille'!$B17*($F$28-$F$26)</f>
        <v>1195.9641205388496</v>
      </c>
      <c r="H20" s="225">
        <f t="shared" si="5"/>
        <v>420.74318331699658</v>
      </c>
      <c r="I20" s="696">
        <f>'PANEL CHR FRANCE'!F19</f>
        <v>1695.4979151268849</v>
      </c>
      <c r="J20" s="696">
        <f t="shared" si="0"/>
        <v>1609.9887906392983</v>
      </c>
      <c r="K20" s="226">
        <f>'ANNEXE 1 Grille'!$B17*($J$28-$J$26)</f>
        <v>1046.4686054714932</v>
      </c>
      <c r="L20" s="225">
        <f t="shared" si="14"/>
        <v>563.52018516780493</v>
      </c>
      <c r="M20" s="564">
        <f>'IRI UK'!B19+'IRI UK'!G19</f>
        <v>2971.2072100083178</v>
      </c>
      <c r="N20" s="570">
        <f>'IRI ALL'!B19</f>
        <v>2208.1180075059269</v>
      </c>
      <c r="O20" s="570">
        <f>'IRI PB'!B19</f>
        <v>2585.4965404284476</v>
      </c>
      <c r="P20" s="570">
        <f>GfK!B19</f>
        <v>1446.9539263533352</v>
      </c>
      <c r="Q20" s="570">
        <f>GfK!F19</f>
        <v>1111.5236979714259</v>
      </c>
      <c r="R20" s="225">
        <f t="shared" si="1"/>
        <v>0</v>
      </c>
      <c r="S20" s="225">
        <f>'ANNEXE 1 Grille'!B17*($R$28-$S$26)</f>
        <v>0</v>
      </c>
      <c r="T20" s="225">
        <f t="shared" si="6"/>
        <v>0</v>
      </c>
      <c r="U20" s="696">
        <f t="shared" si="7"/>
        <v>897.39890474280242</v>
      </c>
      <c r="V20" s="224">
        <f>$U$28*'ANNEXE 1 Grille'!B17</f>
        <v>509.27142162845558</v>
      </c>
      <c r="W20" s="225">
        <f t="shared" si="8"/>
        <v>388.12748311434689</v>
      </c>
      <c r="X20" s="225">
        <f t="shared" si="9"/>
        <v>0</v>
      </c>
      <c r="Y20" s="224">
        <f>$X$28*'ANNEXE 1 Grille'!B17</f>
        <v>0</v>
      </c>
      <c r="Z20" s="225">
        <f t="shared" si="10"/>
        <v>0</v>
      </c>
      <c r="AA20" s="710">
        <f>' DETAIL MONOPOLES'!B17</f>
        <v>676.23402864440641</v>
      </c>
      <c r="AB20" s="227">
        <v>0</v>
      </c>
      <c r="AC20" s="570">
        <f t="shared" si="2"/>
        <v>0</v>
      </c>
      <c r="AD20" s="224"/>
      <c r="AE20" s="225">
        <f t="shared" si="11"/>
        <v>0</v>
      </c>
      <c r="AF20" s="665">
        <v>0</v>
      </c>
    </row>
    <row r="21" spans="1:32" x14ac:dyDescent="0.2">
      <c r="A21" s="682" t="s">
        <v>33</v>
      </c>
      <c r="B21" s="662">
        <f t="shared" si="3"/>
        <v>20048.237507171503</v>
      </c>
      <c r="C21" s="448">
        <f>'IRI FR VT'!C20</f>
        <v>7488.5475831484264</v>
      </c>
      <c r="D21" s="448">
        <f>'IRI FR EFF'!B20</f>
        <v>0</v>
      </c>
      <c r="E21" s="570">
        <f>KANTAR!B20</f>
        <v>3270.7492126192101</v>
      </c>
      <c r="F21" s="696">
        <f t="shared" si="4"/>
        <v>1167.7362652439729</v>
      </c>
      <c r="G21" s="226">
        <f>'ANNEXE 1 Grille'!$B18*($F$28-$F$26)</f>
        <v>746.99308192697629</v>
      </c>
      <c r="H21" s="225">
        <f t="shared" si="5"/>
        <v>420.74318331699658</v>
      </c>
      <c r="I21" s="696">
        <f>'PANEL CHR FRANCE'!F20</f>
        <v>1134.2841168620432</v>
      </c>
      <c r="J21" s="696">
        <f t="shared" si="0"/>
        <v>1217.139131853909</v>
      </c>
      <c r="K21" s="226">
        <f>'ANNEXE 1 Grille'!$B18*($J$28-$J$26)</f>
        <v>653.61894668610421</v>
      </c>
      <c r="L21" s="225">
        <f t="shared" si="14"/>
        <v>563.52018516780493</v>
      </c>
      <c r="M21" s="564">
        <f>'IRI UK'!B20+'IRI UK'!G20</f>
        <v>2146.0819793453743</v>
      </c>
      <c r="N21" s="570">
        <f>'IRI ALL'!B20</f>
        <v>1594.9080387978788</v>
      </c>
      <c r="O21" s="570">
        <f>'IRI PB'!B20</f>
        <v>2028.7911793006856</v>
      </c>
      <c r="P21" s="570">
        <f>GfK!B20</f>
        <v>0</v>
      </c>
      <c r="Q21" s="570">
        <f>GfK!F20</f>
        <v>0</v>
      </c>
      <c r="R21" s="225">
        <f t="shared" si="1"/>
        <v>0</v>
      </c>
      <c r="S21" s="225">
        <f>'ANNEXE 1 Grille'!B18*($R$28-$S$26)</f>
        <v>0</v>
      </c>
      <c r="T21" s="225">
        <f t="shared" si="6"/>
        <v>0</v>
      </c>
      <c r="U21" s="696">
        <f t="shared" si="7"/>
        <v>0</v>
      </c>
      <c r="V21" s="224"/>
      <c r="W21" s="225">
        <f t="shared" si="8"/>
        <v>0</v>
      </c>
      <c r="X21" s="225">
        <f t="shared" si="9"/>
        <v>0</v>
      </c>
      <c r="Y21" s="224"/>
      <c r="Z21" s="225">
        <f t="shared" si="10"/>
        <v>0</v>
      </c>
      <c r="AA21" s="710">
        <f>' DETAIL MONOPOLES'!B18</f>
        <v>0</v>
      </c>
      <c r="AB21" s="227">
        <v>0</v>
      </c>
      <c r="AC21" s="570">
        <f t="shared" si="2"/>
        <v>0</v>
      </c>
      <c r="AD21" s="224"/>
      <c r="AE21" s="225">
        <f t="shared" si="11"/>
        <v>0</v>
      </c>
      <c r="AF21" s="665">
        <v>0</v>
      </c>
    </row>
    <row r="22" spans="1:32" x14ac:dyDescent="0.2">
      <c r="A22" s="682" t="s">
        <v>34</v>
      </c>
      <c r="B22" s="662">
        <f t="shared" si="3"/>
        <v>431.40628677611329</v>
      </c>
      <c r="C22" s="448">
        <f>'IRI FR VT'!C21</f>
        <v>0</v>
      </c>
      <c r="D22" s="448">
        <f>'IRI FR EFF'!B21</f>
        <v>0</v>
      </c>
      <c r="E22" s="570">
        <f>KANTAR!B21</f>
        <v>0</v>
      </c>
      <c r="F22" s="696">
        <f t="shared" si="4"/>
        <v>0</v>
      </c>
      <c r="G22" s="226"/>
      <c r="H22" s="225">
        <f t="shared" si="5"/>
        <v>0</v>
      </c>
      <c r="I22" s="696">
        <f>'PANEL CHR FRANCE'!F21</f>
        <v>431.40628677611329</v>
      </c>
      <c r="J22" s="696">
        <f t="shared" si="0"/>
        <v>0</v>
      </c>
      <c r="K22" s="226"/>
      <c r="L22" s="225">
        <f>IF(K22&lt;&gt;0,$K$27/J$28,K22)</f>
        <v>0</v>
      </c>
      <c r="M22" s="564">
        <f>'IRI UK'!B21+'IRI UK'!G21</f>
        <v>0</v>
      </c>
      <c r="N22" s="570">
        <f>'IRI ALL'!B21</f>
        <v>0</v>
      </c>
      <c r="O22" s="570">
        <f>'IRI PB'!B21</f>
        <v>0</v>
      </c>
      <c r="P22" s="570">
        <f>GfK!B21</f>
        <v>0</v>
      </c>
      <c r="Q22" s="570">
        <f>GfK!F21</f>
        <v>0</v>
      </c>
      <c r="R22" s="225">
        <f t="shared" si="1"/>
        <v>0</v>
      </c>
      <c r="S22" s="225"/>
      <c r="T22" s="225">
        <f t="shared" si="6"/>
        <v>0</v>
      </c>
      <c r="U22" s="696">
        <f t="shared" ref="U22:U26" si="15">V22+W22</f>
        <v>0</v>
      </c>
      <c r="V22" s="224"/>
      <c r="W22" s="225">
        <f t="shared" si="8"/>
        <v>0</v>
      </c>
      <c r="X22" s="225">
        <f t="shared" si="9"/>
        <v>0</v>
      </c>
      <c r="Y22" s="224"/>
      <c r="Z22" s="225">
        <f t="shared" si="10"/>
        <v>0</v>
      </c>
      <c r="AA22" s="710">
        <f>' DETAIL MONOPOLES'!B19</f>
        <v>0</v>
      </c>
      <c r="AB22" s="227">
        <v>0</v>
      </c>
      <c r="AC22" s="570">
        <f t="shared" si="2"/>
        <v>0</v>
      </c>
      <c r="AD22" s="224"/>
      <c r="AE22" s="225">
        <f t="shared" si="11"/>
        <v>0</v>
      </c>
      <c r="AF22" s="665">
        <v>0</v>
      </c>
    </row>
    <row r="23" spans="1:32" x14ac:dyDescent="0.2">
      <c r="A23" s="682" t="s">
        <v>35</v>
      </c>
      <c r="B23" s="662">
        <f t="shared" si="3"/>
        <v>125190.29944942481</v>
      </c>
      <c r="C23" s="448">
        <f>'IRI FR VT'!C22</f>
        <v>43598.169621847861</v>
      </c>
      <c r="D23" s="448">
        <f>'IRI FR EFF'!B22</f>
        <v>3709.6997902942767</v>
      </c>
      <c r="E23" s="570">
        <f>KANTAR!B22</f>
        <v>12317.930137634259</v>
      </c>
      <c r="F23" s="696">
        <f t="shared" si="4"/>
        <v>4721.0072442743531</v>
      </c>
      <c r="G23" s="226">
        <f>'ANNEXE 1 Grille'!$B20*($F$28-$F$26)</f>
        <v>4300.2640609573564</v>
      </c>
      <c r="H23" s="225">
        <f t="shared" si="5"/>
        <v>420.74318331699658</v>
      </c>
      <c r="I23" s="696">
        <f>'PANEL CHR FRANCE'!F22</f>
        <v>5575.8728406500186</v>
      </c>
      <c r="J23" s="696">
        <f t="shared" si="0"/>
        <v>4326.2512385054924</v>
      </c>
      <c r="K23" s="226">
        <f>'ANNEXE 1 Grille'!$B20*($J$28-$J$26)</f>
        <v>3762.7310533376872</v>
      </c>
      <c r="L23" s="225">
        <f t="shared" ref="L23" si="16">IF(K23&lt;&gt;0,$K$27/K$29,K23)</f>
        <v>563.52018516780493</v>
      </c>
      <c r="M23" s="564">
        <f>'IRI UK'!B22+'IRI UK'!G22</f>
        <v>11581.417844095848</v>
      </c>
      <c r="N23" s="570">
        <f>'IRI ALL'!B22</f>
        <v>6448.007678808407</v>
      </c>
      <c r="O23" s="570">
        <f>'IRI PB'!B22</f>
        <v>8018.2489660246056</v>
      </c>
      <c r="P23" s="570">
        <f>GfK!B22</f>
        <v>4079.0615614365297</v>
      </c>
      <c r="Q23" s="570">
        <f>GfK!F22</f>
        <v>3133.4609267398801</v>
      </c>
      <c r="R23" s="225">
        <f>S23+T23</f>
        <v>0</v>
      </c>
      <c r="S23" s="225">
        <f>'ANNEXE 1 Grille'!B20*($R$28-$S$26)</f>
        <v>0</v>
      </c>
      <c r="T23" s="225">
        <f t="shared" si="6"/>
        <v>0</v>
      </c>
      <c r="U23" s="696">
        <f t="shared" si="15"/>
        <v>0</v>
      </c>
      <c r="V23" s="224"/>
      <c r="W23" s="225">
        <f t="shared" si="8"/>
        <v>0</v>
      </c>
      <c r="X23" s="225">
        <f t="shared" si="9"/>
        <v>0</v>
      </c>
      <c r="Y23" s="224">
        <f>$X$28*'ANNEXE 1 Grille'!B20</f>
        <v>0</v>
      </c>
      <c r="Z23" s="225">
        <f t="shared" si="10"/>
        <v>0</v>
      </c>
      <c r="AA23" s="710">
        <f>' DETAIL MONOPOLES'!B20</f>
        <v>2644.6641622379821</v>
      </c>
      <c r="AB23" s="227">
        <v>13458.158423935714</v>
      </c>
      <c r="AC23" s="570">
        <f t="shared" si="2"/>
        <v>15036.507436875318</v>
      </c>
      <c r="AD23" s="224">
        <f>'ANNEXE 1 Grille'!B20*$AC$28</f>
        <v>12158.996632356926</v>
      </c>
      <c r="AE23" s="225">
        <f t="shared" si="11"/>
        <v>2877.5108045183911</v>
      </c>
      <c r="AF23" s="665">
        <v>0</v>
      </c>
    </row>
    <row r="24" spans="1:32" x14ac:dyDescent="0.2">
      <c r="A24" s="682" t="s">
        <v>36</v>
      </c>
      <c r="B24" s="662">
        <f t="shared" si="3"/>
        <v>343.39499109815949</v>
      </c>
      <c r="C24" s="448">
        <f>'IRI FR VT'!C23</f>
        <v>0</v>
      </c>
      <c r="D24" s="448">
        <f>'IRI FR EFF'!B23</f>
        <v>0</v>
      </c>
      <c r="E24" s="570">
        <f>KANTAR!B23</f>
        <v>0</v>
      </c>
      <c r="F24" s="696">
        <f t="shared" si="4"/>
        <v>0</v>
      </c>
      <c r="G24" s="226"/>
      <c r="H24" s="225">
        <f t="shared" si="5"/>
        <v>0</v>
      </c>
      <c r="I24" s="696">
        <f>'PANEL CHR FRANCE'!F23</f>
        <v>343.39499109815949</v>
      </c>
      <c r="J24" s="696">
        <f t="shared" si="0"/>
        <v>0</v>
      </c>
      <c r="K24" s="226"/>
      <c r="L24" s="225">
        <f>IF(K24&lt;&gt;0,$K$27/J$28,K24)</f>
        <v>0</v>
      </c>
      <c r="M24" s="564">
        <f>'IRI UK'!B23+'IRI UK'!G23</f>
        <v>0</v>
      </c>
      <c r="N24" s="570">
        <f>'IRI ALL'!B23</f>
        <v>0</v>
      </c>
      <c r="O24" s="570">
        <f>'IRI PB'!B23</f>
        <v>0</v>
      </c>
      <c r="P24" s="570">
        <f>GfK!B23</f>
        <v>0</v>
      </c>
      <c r="Q24" s="570">
        <f>GfK!F23</f>
        <v>0</v>
      </c>
      <c r="R24" s="225">
        <f t="shared" si="1"/>
        <v>0</v>
      </c>
      <c r="S24" s="225"/>
      <c r="T24" s="225">
        <f t="shared" si="6"/>
        <v>0</v>
      </c>
      <c r="U24" s="696">
        <f t="shared" si="15"/>
        <v>0</v>
      </c>
      <c r="V24" s="224"/>
      <c r="W24" s="225">
        <f t="shared" si="8"/>
        <v>0</v>
      </c>
      <c r="X24" s="225">
        <f t="shared" si="9"/>
        <v>0</v>
      </c>
      <c r="Y24" s="224"/>
      <c r="Z24" s="225">
        <f t="shared" si="10"/>
        <v>0</v>
      </c>
      <c r="AA24" s="710">
        <f>' DETAIL MONOPOLES'!B21</f>
        <v>0</v>
      </c>
      <c r="AB24" s="227">
        <v>0</v>
      </c>
      <c r="AC24" s="570">
        <f t="shared" si="2"/>
        <v>0</v>
      </c>
      <c r="AD24" s="224"/>
      <c r="AE24" s="225">
        <f t="shared" si="11"/>
        <v>0</v>
      </c>
      <c r="AF24" s="665">
        <v>0</v>
      </c>
    </row>
    <row r="25" spans="1:32" s="228" customFormat="1" x14ac:dyDescent="0.2">
      <c r="A25" s="683" t="s">
        <v>38</v>
      </c>
      <c r="B25" s="662">
        <f t="shared" si="3"/>
        <v>0</v>
      </c>
      <c r="C25" s="448">
        <f>'IRI FR VT'!C24</f>
        <v>0</v>
      </c>
      <c r="D25" s="448">
        <f>'IRI FR EFF'!B24</f>
        <v>0</v>
      </c>
      <c r="E25" s="570">
        <f>KANTAR!B24</f>
        <v>0</v>
      </c>
      <c r="F25" s="696"/>
      <c r="G25" s="226"/>
      <c r="H25" s="225"/>
      <c r="I25" s="696">
        <f>'PANEL CHR FRANCE'!F24</f>
        <v>0</v>
      </c>
      <c r="J25" s="696">
        <f t="shared" si="0"/>
        <v>0</v>
      </c>
      <c r="K25" s="226"/>
      <c r="L25" s="225">
        <f>IF(K25&lt;&gt;0,#REF!/J$28,K25)</f>
        <v>0</v>
      </c>
      <c r="M25" s="564">
        <f>'IRI UK'!B24+'IRI UK'!G24</f>
        <v>0</v>
      </c>
      <c r="N25" s="570">
        <f>'IRI ALL'!B24</f>
        <v>0</v>
      </c>
      <c r="O25" s="570">
        <f>'IRI PB'!B24</f>
        <v>0</v>
      </c>
      <c r="P25" s="570">
        <f>GfK!B24</f>
        <v>0</v>
      </c>
      <c r="Q25" s="570">
        <f>GfK!F24</f>
        <v>0</v>
      </c>
      <c r="R25" s="225">
        <f t="shared" si="1"/>
        <v>0</v>
      </c>
      <c r="S25" s="225"/>
      <c r="T25" s="225">
        <f t="shared" si="6"/>
        <v>0</v>
      </c>
      <c r="U25" s="696">
        <f t="shared" si="15"/>
        <v>0</v>
      </c>
      <c r="V25" s="224"/>
      <c r="W25" s="225">
        <f t="shared" si="8"/>
        <v>0</v>
      </c>
      <c r="X25" s="225">
        <f t="shared" si="9"/>
        <v>0</v>
      </c>
      <c r="Y25" s="224"/>
      <c r="Z25" s="225">
        <f t="shared" si="10"/>
        <v>0</v>
      </c>
      <c r="AA25" s="710">
        <f>' DETAIL MONOPOLES'!B22</f>
        <v>0</v>
      </c>
      <c r="AB25" s="227">
        <v>0</v>
      </c>
      <c r="AC25" s="570">
        <f t="shared" si="2"/>
        <v>0</v>
      </c>
      <c r="AD25" s="224"/>
      <c r="AE25" s="225">
        <f t="shared" si="11"/>
        <v>0</v>
      </c>
      <c r="AF25" s="665">
        <v>0</v>
      </c>
    </row>
    <row r="26" spans="1:32" ht="12.75" thickBot="1" x14ac:dyDescent="0.25">
      <c r="A26" s="682" t="s">
        <v>380</v>
      </c>
      <c r="B26" s="662">
        <f t="shared" si="3"/>
        <v>444637.74153440906</v>
      </c>
      <c r="C26" s="448">
        <f>'IRI FR VT'!C25</f>
        <v>125996.98782212085</v>
      </c>
      <c r="D26" s="448">
        <f>'IRI FR EFF'!B25</f>
        <v>9253.5671075636637</v>
      </c>
      <c r="E26" s="570">
        <f>KANTAR!B25</f>
        <v>101846.2253895857</v>
      </c>
      <c r="F26" s="696"/>
      <c r="G26" s="226"/>
      <c r="H26" s="229"/>
      <c r="I26" s="696">
        <f>'PANEL CHR FRANCE'!F25</f>
        <v>50000</v>
      </c>
      <c r="J26" s="696">
        <f t="shared" si="0"/>
        <v>0</v>
      </c>
      <c r="K26" s="229"/>
      <c r="L26" s="229"/>
      <c r="M26" s="564">
        <f>'IRI UK'!B26+'IRI UK'!G26</f>
        <v>49008.371569745344</v>
      </c>
      <c r="N26" s="570">
        <f>'IRI ALL'!B25</f>
        <v>36421.64956290384</v>
      </c>
      <c r="O26" s="570">
        <f>'IRI PB'!B25</f>
        <v>32131.599999999999</v>
      </c>
      <c r="P26" s="570">
        <f>GfK!B25</f>
        <v>22610.423697037866</v>
      </c>
      <c r="Q26" s="570">
        <f>GfK!F25</f>
        <v>17368.916385451819</v>
      </c>
      <c r="R26" s="225">
        <f>S26+T26</f>
        <v>0</v>
      </c>
      <c r="S26" s="224"/>
      <c r="T26" s="225">
        <v>0</v>
      </c>
      <c r="U26" s="696">
        <f t="shared" si="15"/>
        <v>0</v>
      </c>
      <c r="V26" s="224"/>
      <c r="W26" s="224"/>
      <c r="X26" s="225">
        <f t="shared" si="9"/>
        <v>0</v>
      </c>
      <c r="Y26" s="224"/>
      <c r="Z26" s="224"/>
      <c r="AA26" s="710">
        <f>' DETAIL MONOPOLES'!B23</f>
        <v>0</v>
      </c>
      <c r="AB26" s="227">
        <v>0</v>
      </c>
      <c r="AC26" s="570">
        <f t="shared" si="2"/>
        <v>0</v>
      </c>
      <c r="AD26" s="224"/>
      <c r="AE26" s="225">
        <f t="shared" si="11"/>
        <v>0</v>
      </c>
      <c r="AF26" s="666">
        <v>0</v>
      </c>
    </row>
    <row r="27" spans="1:32" s="234" customFormat="1" ht="12.75" thickBot="1" x14ac:dyDescent="0.25">
      <c r="A27" s="565" t="s">
        <v>385</v>
      </c>
      <c r="B27" s="449">
        <f>SUM(B5:B26)</f>
        <v>1548880.9313540764</v>
      </c>
      <c r="C27" s="449">
        <f>SUM(C5:C26)</f>
        <v>570585.35423793225</v>
      </c>
      <c r="D27" s="511">
        <f t="shared" ref="D27:I27" si="17">SUM(D5:D26)</f>
        <v>35590.642721398704</v>
      </c>
      <c r="E27" s="511">
        <f t="shared" si="17"/>
        <v>207857.6039528696</v>
      </c>
      <c r="F27" s="701">
        <f>SUM(F5:F26)</f>
        <v>40000</v>
      </c>
      <c r="G27" s="231">
        <f>F28 -G26-SUM(G5:G25)</f>
        <v>5890.4045664379519</v>
      </c>
      <c r="H27" s="231"/>
      <c r="I27" s="701">
        <f t="shared" si="17"/>
        <v>100000.00000000001</v>
      </c>
      <c r="J27" s="697">
        <v>35000</v>
      </c>
      <c r="K27" s="231">
        <f>J28 -K26-SUM(K5:K25)</f>
        <v>8452.802777517074</v>
      </c>
      <c r="L27" s="231"/>
      <c r="M27" s="565">
        <f t="shared" ref="M27:R27" si="18">SUM(M5:M26)</f>
        <v>140398.37476244773</v>
      </c>
      <c r="N27" s="565">
        <f t="shared" si="18"/>
        <v>91054.123907259593</v>
      </c>
      <c r="O27" s="565">
        <f t="shared" si="18"/>
        <v>83313.481565944501</v>
      </c>
      <c r="P27" s="565">
        <f t="shared" si="18"/>
        <v>56526.059242594667</v>
      </c>
      <c r="Q27" s="565">
        <f t="shared" si="18"/>
        <v>43422.290963629544</v>
      </c>
      <c r="R27" s="230">
        <f t="shared" si="18"/>
        <v>0</v>
      </c>
      <c r="S27" s="230">
        <f>R28-SUM(S5:S26)</f>
        <v>0</v>
      </c>
      <c r="T27" s="230"/>
      <c r="U27" s="706">
        <f>SUM(U5:U26)</f>
        <v>17033.000000000004</v>
      </c>
      <c r="V27" s="232">
        <f>U28-SUM(V5:V23)</f>
        <v>4657.5297973721626</v>
      </c>
      <c r="W27" s="232"/>
      <c r="X27" s="232"/>
      <c r="Y27" s="232">
        <f>X28-SUM(Y5:Y23)</f>
        <v>0</v>
      </c>
      <c r="Z27" s="232"/>
      <c r="AA27" s="706">
        <f>SUM(AA5:AA26)</f>
        <v>15000.000000000004</v>
      </c>
      <c r="AB27" s="233">
        <v>103499.99999999999</v>
      </c>
      <c r="AC27" s="565">
        <f>SUM(AC5:AC26)</f>
        <v>113100.00000000001</v>
      </c>
      <c r="AD27" s="230">
        <f>AC28-SUM(AD5:AD25)</f>
        <v>25897.59724066552</v>
      </c>
      <c r="AE27" s="230"/>
      <c r="AF27" s="667">
        <v>0</v>
      </c>
    </row>
    <row r="28" spans="1:32" s="240" customFormat="1" ht="33.75" x14ac:dyDescent="0.2">
      <c r="A28" s="450" t="s">
        <v>385</v>
      </c>
      <c r="B28" s="512">
        <f>C27+D27+E27+I27+J27+M27+N27+O27+P27+Q27+R27+U27+X27+AA27+AC27+F27</f>
        <v>1548880.9313540766</v>
      </c>
      <c r="C28" s="608">
        <v>559953</v>
      </c>
      <c r="D28" s="512">
        <v>36345</v>
      </c>
      <c r="E28" s="512">
        <f>207706</f>
        <v>207706</v>
      </c>
      <c r="F28" s="702">
        <v>40000</v>
      </c>
      <c r="G28" s="235" t="s">
        <v>202</v>
      </c>
      <c r="H28" s="237"/>
      <c r="I28" s="702">
        <v>100000</v>
      </c>
      <c r="J28" s="698">
        <v>35000</v>
      </c>
      <c r="K28" s="235" t="s">
        <v>202</v>
      </c>
      <c r="L28" s="237"/>
      <c r="M28" s="566">
        <f>'IRI UK'!B28+'IRI UK'!G28</f>
        <v>140398.37476244773</v>
      </c>
      <c r="N28" s="566">
        <v>90988</v>
      </c>
      <c r="O28" s="566">
        <f>83253</f>
        <v>83253</v>
      </c>
      <c r="P28" s="566">
        <v>55557</v>
      </c>
      <c r="Q28" s="566">
        <f>42930</f>
        <v>42930</v>
      </c>
      <c r="R28" s="238">
        <v>0</v>
      </c>
      <c r="S28" s="238"/>
      <c r="T28" s="238"/>
      <c r="U28" s="707">
        <v>17033</v>
      </c>
      <c r="V28" s="238"/>
      <c r="W28" s="238"/>
      <c r="X28" s="238"/>
      <c r="Y28" s="238"/>
      <c r="Z28" s="238"/>
      <c r="AA28" s="707">
        <v>15000</v>
      </c>
      <c r="AB28" s="238"/>
      <c r="AC28" s="566">
        <v>113100</v>
      </c>
      <c r="AD28" s="239">
        <f>COUNTA(AD5:AD24)</f>
        <v>9</v>
      </c>
      <c r="AE28" s="238"/>
      <c r="AF28" s="668"/>
    </row>
    <row r="29" spans="1:32" s="240" customFormat="1" ht="11.25" x14ac:dyDescent="0.2">
      <c r="A29" s="450" t="s">
        <v>386</v>
      </c>
      <c r="B29" s="450">
        <f>SUM(B5:B26)-B27</f>
        <v>0</v>
      </c>
      <c r="C29" s="450">
        <f>SUM(C5:C26)-C28</f>
        <v>10632.354237932246</v>
      </c>
      <c r="D29" s="450">
        <f>SUM(D5:D26)-D28</f>
        <v>-754.35727860129555</v>
      </c>
      <c r="E29" s="450">
        <f>E27-E28</f>
        <v>151.60395286959829</v>
      </c>
      <c r="F29" s="699">
        <f>F27-F28</f>
        <v>0</v>
      </c>
      <c r="G29" s="241">
        <f>COUNTA(G5:G26)</f>
        <v>14</v>
      </c>
      <c r="H29" s="235"/>
      <c r="I29" s="699">
        <f>I28-I27</f>
        <v>0</v>
      </c>
      <c r="J29" s="699">
        <f>SUM(J5:J26)-J27</f>
        <v>0</v>
      </c>
      <c r="K29" s="241">
        <f>COUNTA(K5:K26)</f>
        <v>15</v>
      </c>
      <c r="L29" s="235"/>
      <c r="M29" s="450">
        <f t="shared" ref="M29:R29" si="19">M27-M28</f>
        <v>0</v>
      </c>
      <c r="N29" s="450">
        <f t="shared" si="19"/>
        <v>66.12390725959267</v>
      </c>
      <c r="O29" s="450">
        <f t="shared" si="19"/>
        <v>60.481565944501199</v>
      </c>
      <c r="P29" s="450">
        <f t="shared" si="19"/>
        <v>969.05924259466701</v>
      </c>
      <c r="Q29" s="450">
        <f t="shared" si="19"/>
        <v>492.29096362954442</v>
      </c>
      <c r="R29" s="236">
        <f t="shared" si="19"/>
        <v>0</v>
      </c>
      <c r="S29" s="242">
        <f>COUNTA(S5:S24)</f>
        <v>14</v>
      </c>
      <c r="T29" s="235"/>
      <c r="U29" s="699">
        <f>U27-U28</f>
        <v>0</v>
      </c>
      <c r="V29" s="241">
        <f>COUNTA(V5:V26)</f>
        <v>12</v>
      </c>
      <c r="W29" s="235"/>
      <c r="X29" s="235">
        <f>X27-X28</f>
        <v>0</v>
      </c>
      <c r="Y29" s="241">
        <f>COUNTA(Y5:Y26)</f>
        <v>15</v>
      </c>
      <c r="Z29" s="235"/>
      <c r="AA29" s="699">
        <f>AA27-AA28</f>
        <v>0</v>
      </c>
      <c r="AB29" s="235"/>
      <c r="AC29" s="512">
        <f>AC27-AC28</f>
        <v>0</v>
      </c>
      <c r="AD29" s="235"/>
      <c r="AE29" s="235">
        <f>SUM(AE5:AE26)-AF27</f>
        <v>25897.59724066552</v>
      </c>
      <c r="AF29" s="668"/>
    </row>
    <row r="30" spans="1:32" x14ac:dyDescent="0.2">
      <c r="A30" s="684"/>
      <c r="B30" s="687"/>
      <c r="C30" s="451"/>
    </row>
    <row r="31" spans="1:32" x14ac:dyDescent="0.2">
      <c r="A31" s="684"/>
      <c r="B31" s="688"/>
      <c r="C31" s="452"/>
    </row>
    <row r="32" spans="1:32" x14ac:dyDescent="0.2">
      <c r="B32" s="689"/>
      <c r="C32" s="453"/>
      <c r="D32" s="513"/>
      <c r="I32" s="703"/>
      <c r="M32" s="568"/>
      <c r="N32" s="568"/>
    </row>
    <row r="33" spans="2:14" x14ac:dyDescent="0.2">
      <c r="B33" s="689"/>
      <c r="C33" s="453"/>
      <c r="D33" s="513"/>
      <c r="M33" s="568"/>
      <c r="N33" s="568"/>
    </row>
    <row r="34" spans="2:14" x14ac:dyDescent="0.2">
      <c r="B34" s="689"/>
      <c r="C34" s="453"/>
      <c r="M34" s="569"/>
      <c r="N34" s="569"/>
    </row>
    <row r="35" spans="2:14" x14ac:dyDescent="0.2">
      <c r="B35" s="689"/>
      <c r="C35" s="454"/>
      <c r="M35" s="569"/>
      <c r="N35" s="569"/>
    </row>
    <row r="36" spans="2:14" x14ac:dyDescent="0.2">
      <c r="B36" s="689"/>
      <c r="C36" s="454"/>
      <c r="M36" s="569"/>
      <c r="N36" s="569"/>
    </row>
    <row r="37" spans="2:14" x14ac:dyDescent="0.2">
      <c r="B37" s="689"/>
      <c r="C37" s="455"/>
      <c r="M37" s="569"/>
      <c r="N37" s="569"/>
    </row>
    <row r="38" spans="2:14" x14ac:dyDescent="0.2">
      <c r="B38" s="689"/>
      <c r="C38" s="455"/>
      <c r="M38" s="569"/>
      <c r="N38" s="569"/>
    </row>
    <row r="39" spans="2:14" x14ac:dyDescent="0.2">
      <c r="B39" s="689"/>
      <c r="C39" s="455"/>
      <c r="M39" s="569"/>
      <c r="N39" s="569"/>
    </row>
    <row r="40" spans="2:14" x14ac:dyDescent="0.2">
      <c r="B40" s="689"/>
      <c r="C40" s="455"/>
      <c r="M40" s="569"/>
      <c r="N40" s="569"/>
    </row>
    <row r="41" spans="2:14" x14ac:dyDescent="0.2">
      <c r="B41" s="689"/>
      <c r="C41" s="455"/>
      <c r="M41" s="569"/>
      <c r="N41" s="569"/>
    </row>
    <row r="42" spans="2:14" x14ac:dyDescent="0.2">
      <c r="B42" s="689"/>
      <c r="C42" s="455"/>
      <c r="M42" s="569"/>
      <c r="N42" s="569"/>
    </row>
    <row r="43" spans="2:14" x14ac:dyDescent="0.2">
      <c r="B43" s="689"/>
      <c r="C43" s="455"/>
    </row>
    <row r="44" spans="2:14" x14ac:dyDescent="0.2">
      <c r="B44" s="689"/>
      <c r="C44" s="455"/>
    </row>
    <row r="45" spans="2:14" x14ac:dyDescent="0.2">
      <c r="B45" s="689"/>
      <c r="C45" s="455"/>
    </row>
    <row r="46" spans="2:14" x14ac:dyDescent="0.2">
      <c r="B46" s="689"/>
      <c r="C46" s="455"/>
    </row>
    <row r="47" spans="2:14" x14ac:dyDescent="0.2">
      <c r="B47" s="689"/>
      <c r="C47" s="455"/>
    </row>
    <row r="48" spans="2:14" x14ac:dyDescent="0.2">
      <c r="B48" s="689"/>
      <c r="C48" s="455"/>
    </row>
  </sheetData>
  <mergeCells count="26">
    <mergeCell ref="M1:AC1"/>
    <mergeCell ref="U2:W2"/>
    <mergeCell ref="AF3:AF4"/>
    <mergeCell ref="AC2:AE2"/>
    <mergeCell ref="R3:T3"/>
    <mergeCell ref="O2:O4"/>
    <mergeCell ref="P2:P4"/>
    <mergeCell ref="Q2:Q4"/>
    <mergeCell ref="U3:W3"/>
    <mergeCell ref="AA3:AA4"/>
    <mergeCell ref="AC3:AE3"/>
    <mergeCell ref="M2:M4"/>
    <mergeCell ref="N2:N4"/>
    <mergeCell ref="R2:T2"/>
    <mergeCell ref="X2:Z2"/>
    <mergeCell ref="X3:Z3"/>
    <mergeCell ref="A1:A4"/>
    <mergeCell ref="C1:L1"/>
    <mergeCell ref="B1:B4"/>
    <mergeCell ref="C2:C4"/>
    <mergeCell ref="D2:D4"/>
    <mergeCell ref="E2:E4"/>
    <mergeCell ref="I2:I4"/>
    <mergeCell ref="J2:L2"/>
    <mergeCell ref="J3:L3"/>
    <mergeCell ref="F2:H2"/>
  </mergeCells>
  <hyperlinks>
    <hyperlink ref="C2" location="'IRI FR VT'!A1" display="IRI VT FR"/>
    <hyperlink ref="D2" location="'IRI FR EFF'!A1" display="IRI FR EFF"/>
    <hyperlink ref="M2" location="'IRI UK'!A1" display="IRI UK"/>
    <hyperlink ref="N2" location="'IRI ALL'!A1" display="IRI ALL"/>
    <hyperlink ref="O2" location="'IRI PB'!A1" display="IRI PB"/>
    <hyperlink ref="E2" location="KANTAR!A1" display="KANTAR"/>
    <hyperlink ref="P2" location="GfK!D1" display="GfK BE"/>
    <hyperlink ref="Q2" location="GfK!P1" display="GfK ALL"/>
    <hyperlink ref="I2" location="'PANEL CHR FRANCE'!P1" display="CHR France"/>
  </hyperlinks>
  <printOptions horizontalCentered="1" verticalCentered="1"/>
  <pageMargins left="0.25" right="0.25" top="0.75" bottom="0.75" header="0.3" footer="0.3"/>
  <pageSetup paperSize="8" firstPageNumber="0" orientation="landscape" r:id="rId1"/>
  <headerFooter>
    <oddHeader>&amp;C&amp;F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37" s="1" customFormat="1" ht="15.75" customHeight="1" x14ac:dyDescent="0.25">
      <c r="A1" s="29"/>
      <c r="B1" s="734" t="s">
        <v>55</v>
      </c>
      <c r="C1" s="734"/>
      <c r="D1" s="735" t="s">
        <v>56</v>
      </c>
      <c r="E1" s="735"/>
      <c r="F1" s="736" t="s">
        <v>57</v>
      </c>
      <c r="G1" s="736"/>
      <c r="H1" s="735" t="s">
        <v>58</v>
      </c>
      <c r="I1" s="735"/>
      <c r="J1" s="736" t="s">
        <v>59</v>
      </c>
      <c r="K1" s="736"/>
      <c r="L1" s="733" t="s">
        <v>60</v>
      </c>
      <c r="M1" s="733"/>
      <c r="N1" s="8"/>
      <c r="O1" s="3"/>
      <c r="P1" s="3"/>
      <c r="Q1" s="3"/>
      <c r="R1" s="3"/>
      <c r="S1" s="8"/>
      <c r="T1" s="9"/>
      <c r="U1" s="5"/>
      <c r="V1" s="9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9"/>
      <c r="AJ1" s="3"/>
      <c r="AK1" s="7"/>
    </row>
    <row r="2" spans="1:37" ht="15.75" customHeight="1" x14ac:dyDescent="0.25">
      <c r="A2" s="30" t="s">
        <v>61</v>
      </c>
      <c r="B2" s="31"/>
      <c r="C2" s="31"/>
      <c r="D2" s="32">
        <v>185</v>
      </c>
      <c r="E2" s="33"/>
      <c r="F2" s="32">
        <f>10204.03</f>
        <v>10204.030000000001</v>
      </c>
      <c r="G2" s="34"/>
      <c r="H2" s="32">
        <v>1500</v>
      </c>
      <c r="I2" s="33"/>
      <c r="J2" s="35">
        <v>4000</v>
      </c>
      <c r="K2" s="34"/>
      <c r="M2" s="36"/>
      <c r="N2" s="8"/>
      <c r="O2" s="3"/>
      <c r="P2" s="3"/>
      <c r="Q2" s="3"/>
      <c r="R2" s="3"/>
      <c r="S2" s="8"/>
      <c r="T2" s="9"/>
      <c r="U2" s="5"/>
      <c r="V2" s="9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9"/>
      <c r="AJ2" s="3"/>
      <c r="AK2" s="7"/>
    </row>
    <row r="3" spans="1:37" s="10" customFormat="1" x14ac:dyDescent="0.25">
      <c r="A3" s="37" t="s">
        <v>62</v>
      </c>
      <c r="B3" s="38" t="s">
        <v>63</v>
      </c>
      <c r="C3" s="34" t="s">
        <v>64</v>
      </c>
      <c r="D3" s="39" t="s">
        <v>63</v>
      </c>
      <c r="E3" s="40" t="s">
        <v>64</v>
      </c>
      <c r="F3" s="39" t="s">
        <v>63</v>
      </c>
      <c r="G3" s="40" t="s">
        <v>64</v>
      </c>
      <c r="H3" s="39" t="s">
        <v>63</v>
      </c>
      <c r="I3" s="40" t="s">
        <v>64</v>
      </c>
      <c r="J3" s="39" t="s">
        <v>63</v>
      </c>
      <c r="K3" s="40" t="s">
        <v>64</v>
      </c>
      <c r="L3" s="39" t="s">
        <v>63</v>
      </c>
      <c r="M3" s="40" t="s">
        <v>64</v>
      </c>
      <c r="N3" s="11"/>
      <c r="O3" s="11"/>
      <c r="P3" s="14"/>
      <c r="Q3" s="9"/>
      <c r="R3" s="5"/>
      <c r="S3" s="5"/>
      <c r="T3" s="13"/>
      <c r="U3" s="14"/>
      <c r="V3" s="13"/>
      <c r="W3" s="13"/>
      <c r="X3" s="12"/>
      <c r="Y3" s="13"/>
      <c r="Z3" s="13"/>
      <c r="AA3" s="12"/>
      <c r="AB3" s="13"/>
      <c r="AC3" s="13"/>
      <c r="AD3" s="12"/>
      <c r="AE3" s="13"/>
      <c r="AF3" s="13"/>
      <c r="AG3" s="14"/>
      <c r="AI3" s="11"/>
      <c r="AJ3" s="15"/>
    </row>
    <row r="4" spans="1:37" x14ac:dyDescent="0.25">
      <c r="A4" s="41"/>
      <c r="B4" s="42"/>
      <c r="C4" s="43"/>
      <c r="D4" s="44">
        <v>136.01</v>
      </c>
      <c r="E4" s="45">
        <v>162.68</v>
      </c>
      <c r="F4" s="44">
        <v>8498</v>
      </c>
      <c r="G4" s="45">
        <f>F4*1.196</f>
        <v>10163.608</v>
      </c>
      <c r="H4" s="44">
        <v>1137.01</v>
      </c>
      <c r="I4" s="45">
        <f>H4*1.196</f>
        <v>1359.8639599999999</v>
      </c>
      <c r="J4" s="44">
        <v>485.03</v>
      </c>
      <c r="K4" s="45">
        <f>J4*1.196</f>
        <v>580.09587999999997</v>
      </c>
      <c r="L4" s="44">
        <v>3500</v>
      </c>
      <c r="M4" s="45">
        <f>L4*1.196</f>
        <v>4186</v>
      </c>
      <c r="N4" s="11"/>
      <c r="O4" s="11"/>
      <c r="P4" s="14"/>
      <c r="Q4" s="13"/>
      <c r="R4" s="13"/>
      <c r="S4" s="14"/>
      <c r="T4" s="13"/>
      <c r="U4" s="14"/>
      <c r="V4" s="13"/>
      <c r="W4" s="13"/>
      <c r="X4" s="12"/>
      <c r="Y4" s="13"/>
      <c r="Z4" s="13"/>
      <c r="AA4" s="12"/>
      <c r="AB4" s="13"/>
      <c r="AC4" s="13"/>
      <c r="AD4" s="12"/>
      <c r="AE4" s="13"/>
      <c r="AF4" s="13"/>
      <c r="AG4" s="14"/>
      <c r="AI4" s="11"/>
      <c r="AJ4" s="15"/>
    </row>
    <row r="5" spans="1:37" s="1" customFormat="1" ht="30" x14ac:dyDescent="0.25">
      <c r="A5" s="1" t="s">
        <v>65</v>
      </c>
      <c r="B5" s="46">
        <f t="shared" ref="B5:B12" si="0">D5+F5+H5+J5+L5</f>
        <v>1965.15</v>
      </c>
      <c r="C5" s="47">
        <f t="shared" ref="C5:C11" si="1">B5*1.2</f>
        <v>2358.1799999999998</v>
      </c>
      <c r="D5" s="48">
        <v>19.43</v>
      </c>
      <c r="E5" s="49">
        <f t="shared" ref="E5:E11" si="2">D5*1.2</f>
        <v>23.315999999999999</v>
      </c>
      <c r="F5" s="48">
        <f t="shared" ref="F5:F11" si="3">$F$4/7</f>
        <v>1214</v>
      </c>
      <c r="G5" s="49">
        <f t="shared" ref="G5:G11" si="4">F5*1.2</f>
        <v>1456.8</v>
      </c>
      <c r="H5" s="48">
        <f t="shared" ref="H5:H11" si="5">$H$4/7</f>
        <v>162.43</v>
      </c>
      <c r="I5" s="49">
        <f t="shared" ref="I5:I11" si="6">H5*1.2</f>
        <v>194.916</v>
      </c>
      <c r="J5" s="48">
        <f t="shared" ref="J5:J11" si="7">$J$4/7</f>
        <v>69.289999999999992</v>
      </c>
      <c r="K5" s="49">
        <f t="shared" ref="K5:K11" si="8">J5*1.2</f>
        <v>83.147999999999982</v>
      </c>
      <c r="L5" s="48">
        <f t="shared" ref="L5:L11" si="9">$L$4/7</f>
        <v>500</v>
      </c>
      <c r="M5" s="49">
        <f t="shared" ref="M5:M11" si="10">L5*1.2</f>
        <v>600</v>
      </c>
      <c r="N5" s="3"/>
      <c r="O5" s="3"/>
      <c r="P5" s="9"/>
      <c r="Q5" s="5"/>
      <c r="R5" s="5"/>
      <c r="S5" s="9"/>
      <c r="T5" s="5"/>
      <c r="U5" s="9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9"/>
      <c r="AI5" s="3"/>
      <c r="AJ5" s="7"/>
    </row>
    <row r="6" spans="1:37" s="1" customFormat="1" ht="30" x14ac:dyDescent="0.25">
      <c r="A6" s="1" t="s">
        <v>66</v>
      </c>
      <c r="B6" s="46">
        <f t="shared" si="0"/>
        <v>1965.15</v>
      </c>
      <c r="C6" s="47">
        <f t="shared" si="1"/>
        <v>2358.1799999999998</v>
      </c>
      <c r="D6" s="48">
        <v>19.43</v>
      </c>
      <c r="E6" s="49">
        <f t="shared" si="2"/>
        <v>23.315999999999999</v>
      </c>
      <c r="F6" s="48">
        <f t="shared" si="3"/>
        <v>1214</v>
      </c>
      <c r="G6" s="49">
        <f t="shared" si="4"/>
        <v>1456.8</v>
      </c>
      <c r="H6" s="48">
        <f t="shared" si="5"/>
        <v>162.43</v>
      </c>
      <c r="I6" s="49">
        <f t="shared" si="6"/>
        <v>194.916</v>
      </c>
      <c r="J6" s="48">
        <f t="shared" si="7"/>
        <v>69.289999999999992</v>
      </c>
      <c r="K6" s="49">
        <f t="shared" si="8"/>
        <v>83.147999999999982</v>
      </c>
      <c r="L6" s="48">
        <f t="shared" si="9"/>
        <v>500</v>
      </c>
      <c r="M6" s="49">
        <f t="shared" si="10"/>
        <v>600</v>
      </c>
      <c r="N6" s="3"/>
      <c r="O6" s="3"/>
      <c r="P6" s="9"/>
      <c r="Q6" s="5"/>
      <c r="R6" s="5"/>
      <c r="S6" s="9"/>
      <c r="T6" s="5"/>
      <c r="U6" s="9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9"/>
      <c r="AI6" s="3"/>
      <c r="AJ6" s="7"/>
    </row>
    <row r="7" spans="1:37" s="1" customFormat="1" ht="30" x14ac:dyDescent="0.25">
      <c r="A7" s="1" t="s">
        <v>67</v>
      </c>
      <c r="B7" s="46">
        <f t="shared" si="0"/>
        <v>1965.15</v>
      </c>
      <c r="C7" s="47">
        <f t="shared" si="1"/>
        <v>2358.1799999999998</v>
      </c>
      <c r="D7" s="48">
        <v>19.43</v>
      </c>
      <c r="E7" s="49">
        <f t="shared" si="2"/>
        <v>23.315999999999999</v>
      </c>
      <c r="F7" s="48">
        <f t="shared" si="3"/>
        <v>1214</v>
      </c>
      <c r="G7" s="49">
        <f t="shared" si="4"/>
        <v>1456.8</v>
      </c>
      <c r="H7" s="48">
        <f t="shared" si="5"/>
        <v>162.43</v>
      </c>
      <c r="I7" s="49">
        <f t="shared" si="6"/>
        <v>194.916</v>
      </c>
      <c r="J7" s="48">
        <f t="shared" si="7"/>
        <v>69.289999999999992</v>
      </c>
      <c r="K7" s="49">
        <f t="shared" si="8"/>
        <v>83.147999999999982</v>
      </c>
      <c r="L7" s="48">
        <f t="shared" si="9"/>
        <v>500</v>
      </c>
      <c r="M7" s="49">
        <f t="shared" si="10"/>
        <v>600</v>
      </c>
      <c r="N7" s="3"/>
      <c r="O7" s="3"/>
      <c r="P7" s="9"/>
      <c r="Q7" s="5"/>
      <c r="R7" s="5"/>
      <c r="S7" s="9"/>
      <c r="T7" s="5"/>
      <c r="U7" s="9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9"/>
      <c r="AI7" s="3"/>
      <c r="AJ7" s="7"/>
    </row>
    <row r="8" spans="1:37" s="1" customFormat="1" x14ac:dyDescent="0.25">
      <c r="A8" s="1" t="s">
        <v>68</v>
      </c>
      <c r="B8" s="46">
        <f t="shared" si="0"/>
        <v>1965.15</v>
      </c>
      <c r="C8" s="47">
        <f t="shared" si="1"/>
        <v>2358.1799999999998</v>
      </c>
      <c r="D8" s="48">
        <v>19.43</v>
      </c>
      <c r="E8" s="49">
        <f t="shared" si="2"/>
        <v>23.315999999999999</v>
      </c>
      <c r="F8" s="48">
        <f t="shared" si="3"/>
        <v>1214</v>
      </c>
      <c r="G8" s="49">
        <f t="shared" si="4"/>
        <v>1456.8</v>
      </c>
      <c r="H8" s="48">
        <f t="shared" si="5"/>
        <v>162.43</v>
      </c>
      <c r="I8" s="49">
        <f t="shared" si="6"/>
        <v>194.916</v>
      </c>
      <c r="J8" s="48">
        <f t="shared" si="7"/>
        <v>69.289999999999992</v>
      </c>
      <c r="K8" s="49">
        <f t="shared" si="8"/>
        <v>83.147999999999982</v>
      </c>
      <c r="L8" s="48">
        <f t="shared" si="9"/>
        <v>500</v>
      </c>
      <c r="M8" s="49">
        <f t="shared" si="10"/>
        <v>600</v>
      </c>
      <c r="N8" s="3"/>
      <c r="O8" s="3"/>
      <c r="P8" s="9"/>
      <c r="Q8" s="5"/>
      <c r="R8" s="5"/>
      <c r="S8" s="9"/>
      <c r="T8" s="5"/>
      <c r="U8" s="9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9"/>
      <c r="AI8" s="3"/>
      <c r="AJ8" s="7"/>
    </row>
    <row r="9" spans="1:37" s="1" customFormat="1" ht="30" x14ac:dyDescent="0.25">
      <c r="A9" s="1" t="s">
        <v>69</v>
      </c>
      <c r="B9" s="46">
        <f t="shared" si="0"/>
        <v>1965.15</v>
      </c>
      <c r="C9" s="47">
        <f t="shared" si="1"/>
        <v>2358.1799999999998</v>
      </c>
      <c r="D9" s="48">
        <v>19.43</v>
      </c>
      <c r="E9" s="49">
        <f t="shared" si="2"/>
        <v>23.315999999999999</v>
      </c>
      <c r="F9" s="48">
        <f t="shared" si="3"/>
        <v>1214</v>
      </c>
      <c r="G9" s="49">
        <f t="shared" si="4"/>
        <v>1456.8</v>
      </c>
      <c r="H9" s="48">
        <f t="shared" si="5"/>
        <v>162.43</v>
      </c>
      <c r="I9" s="49">
        <f t="shared" si="6"/>
        <v>194.916</v>
      </c>
      <c r="J9" s="48">
        <f t="shared" si="7"/>
        <v>69.289999999999992</v>
      </c>
      <c r="K9" s="49">
        <f t="shared" si="8"/>
        <v>83.147999999999982</v>
      </c>
      <c r="L9" s="48">
        <f t="shared" si="9"/>
        <v>500</v>
      </c>
      <c r="M9" s="49">
        <f t="shared" si="10"/>
        <v>600</v>
      </c>
      <c r="N9" s="3"/>
      <c r="O9" s="3"/>
      <c r="P9" s="9"/>
      <c r="Q9" s="5"/>
      <c r="R9" s="5"/>
      <c r="S9" s="9"/>
      <c r="T9" s="5"/>
      <c r="U9" s="9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9"/>
      <c r="AI9" s="3"/>
      <c r="AJ9" s="7"/>
    </row>
    <row r="10" spans="1:37" s="1" customFormat="1" x14ac:dyDescent="0.25">
      <c r="A10" s="1" t="s">
        <v>70</v>
      </c>
      <c r="B10" s="46">
        <f t="shared" si="0"/>
        <v>1965.15</v>
      </c>
      <c r="C10" s="47">
        <f t="shared" si="1"/>
        <v>2358.1799999999998</v>
      </c>
      <c r="D10" s="48">
        <v>19.43</v>
      </c>
      <c r="E10" s="49">
        <f t="shared" si="2"/>
        <v>23.315999999999999</v>
      </c>
      <c r="F10" s="48">
        <f t="shared" si="3"/>
        <v>1214</v>
      </c>
      <c r="G10" s="49">
        <f t="shared" si="4"/>
        <v>1456.8</v>
      </c>
      <c r="H10" s="48">
        <f t="shared" si="5"/>
        <v>162.43</v>
      </c>
      <c r="I10" s="49">
        <f t="shared" si="6"/>
        <v>194.916</v>
      </c>
      <c r="J10" s="48">
        <f t="shared" si="7"/>
        <v>69.289999999999992</v>
      </c>
      <c r="K10" s="49">
        <f t="shared" si="8"/>
        <v>83.147999999999982</v>
      </c>
      <c r="L10" s="48">
        <f t="shared" si="9"/>
        <v>500</v>
      </c>
      <c r="M10" s="49">
        <f t="shared" si="10"/>
        <v>600</v>
      </c>
      <c r="N10" s="3"/>
      <c r="O10" s="3"/>
      <c r="P10" s="9"/>
      <c r="Q10" s="5"/>
      <c r="R10" s="5"/>
      <c r="S10" s="9"/>
      <c r="T10" s="5"/>
      <c r="U10" s="9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9"/>
      <c r="AI10" s="3"/>
      <c r="AJ10" s="7"/>
    </row>
    <row r="11" spans="1:37" s="1" customFormat="1" x14ac:dyDescent="0.25">
      <c r="A11" s="1" t="s">
        <v>71</v>
      </c>
      <c r="B11" s="46">
        <f t="shared" si="0"/>
        <v>1965.15</v>
      </c>
      <c r="C11" s="47">
        <f t="shared" si="1"/>
        <v>2358.1799999999998</v>
      </c>
      <c r="D11" s="48">
        <v>19.43</v>
      </c>
      <c r="E11" s="49">
        <f t="shared" si="2"/>
        <v>23.315999999999999</v>
      </c>
      <c r="F11" s="48">
        <f t="shared" si="3"/>
        <v>1214</v>
      </c>
      <c r="G11" s="49">
        <f t="shared" si="4"/>
        <v>1456.8</v>
      </c>
      <c r="H11" s="48">
        <f t="shared" si="5"/>
        <v>162.43</v>
      </c>
      <c r="I11" s="49">
        <f t="shared" si="6"/>
        <v>194.916</v>
      </c>
      <c r="J11" s="48">
        <f t="shared" si="7"/>
        <v>69.289999999999992</v>
      </c>
      <c r="K11" s="49">
        <f t="shared" si="8"/>
        <v>83.147999999999982</v>
      </c>
      <c r="L11" s="48">
        <f t="shared" si="9"/>
        <v>500</v>
      </c>
      <c r="M11" s="49">
        <f t="shared" si="10"/>
        <v>600</v>
      </c>
      <c r="N11" s="3"/>
      <c r="O11" s="3"/>
      <c r="P11" s="9"/>
      <c r="Q11" s="5"/>
      <c r="R11" s="5"/>
      <c r="S11" s="9"/>
      <c r="T11" s="5"/>
      <c r="U11" s="9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9"/>
      <c r="AI11" s="3"/>
      <c r="AJ11" s="7"/>
    </row>
    <row r="12" spans="1:37" s="10" customFormat="1" ht="30" x14ac:dyDescent="0.25">
      <c r="A12" s="10" t="s">
        <v>72</v>
      </c>
      <c r="B12" s="42">
        <f t="shared" si="0"/>
        <v>13756.050000000001</v>
      </c>
      <c r="C12" s="45">
        <f>E12+G12+I12+K12+M12</f>
        <v>16507.259999999998</v>
      </c>
      <c r="D12" s="44">
        <f t="shared" ref="D12:M12" si="11">SUM(D5:D11)</f>
        <v>136.01000000000002</v>
      </c>
      <c r="E12" s="45">
        <f t="shared" si="11"/>
        <v>163.21199999999999</v>
      </c>
      <c r="F12" s="44">
        <f t="shared" si="11"/>
        <v>8498</v>
      </c>
      <c r="G12" s="45">
        <f t="shared" si="11"/>
        <v>10197.599999999999</v>
      </c>
      <c r="H12" s="44">
        <f t="shared" si="11"/>
        <v>1137.0100000000002</v>
      </c>
      <c r="I12" s="45">
        <f t="shared" si="11"/>
        <v>1364.4119999999998</v>
      </c>
      <c r="J12" s="44">
        <f t="shared" si="11"/>
        <v>485.02999999999986</v>
      </c>
      <c r="K12" s="45">
        <f t="shared" si="11"/>
        <v>582.03599999999983</v>
      </c>
      <c r="L12" s="44">
        <f t="shared" si="11"/>
        <v>3500</v>
      </c>
      <c r="M12" s="45">
        <f t="shared" si="11"/>
        <v>4200</v>
      </c>
      <c r="N12" s="11"/>
      <c r="O12" s="11"/>
      <c r="P12" s="14"/>
      <c r="Q12" s="5"/>
      <c r="R12" s="5"/>
      <c r="S12" s="9"/>
      <c r="T12" s="13"/>
      <c r="U12" s="14"/>
      <c r="V12" s="13"/>
      <c r="W12" s="13"/>
      <c r="X12" s="12"/>
      <c r="Y12" s="13"/>
      <c r="Z12" s="13"/>
      <c r="AA12" s="12"/>
      <c r="AB12" s="13"/>
      <c r="AC12" s="13"/>
      <c r="AD12" s="12"/>
      <c r="AE12" s="13"/>
      <c r="AF12" s="13"/>
      <c r="AG12" s="14"/>
      <c r="AI12" s="11"/>
      <c r="AJ12" s="15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>
      <selection activeCell="D30" sqref="D30"/>
    </sheetView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10" t="s">
        <v>73</v>
      </c>
      <c r="B1"/>
      <c r="C1"/>
      <c r="D1" s="10" t="s">
        <v>74</v>
      </c>
      <c r="E1"/>
      <c r="F1"/>
      <c r="G1" s="1" t="s">
        <v>7</v>
      </c>
      <c r="H1"/>
      <c r="I1"/>
      <c r="J1" s="1" t="s">
        <v>75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45" x14ac:dyDescent="0.25">
      <c r="A2" s="1" t="s">
        <v>76</v>
      </c>
      <c r="B2" s="50">
        <v>2014</v>
      </c>
      <c r="C2"/>
      <c r="D2" s="1" t="s">
        <v>76</v>
      </c>
      <c r="E2" s="50">
        <v>2014</v>
      </c>
      <c r="F2"/>
      <c r="G2" s="1" t="s">
        <v>76</v>
      </c>
      <c r="H2" s="19">
        <v>2014</v>
      </c>
      <c r="I2"/>
      <c r="J2" s="1" t="s">
        <v>76</v>
      </c>
      <c r="K2" s="50">
        <v>2014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x14ac:dyDescent="0.25">
      <c r="A3" s="19" t="s">
        <v>77</v>
      </c>
      <c r="B3" s="51" t="s">
        <v>78</v>
      </c>
      <c r="C3"/>
      <c r="D3" s="19" t="s">
        <v>77</v>
      </c>
      <c r="E3" s="51" t="s">
        <v>78</v>
      </c>
      <c r="F3"/>
      <c r="G3" s="19" t="s">
        <v>77</v>
      </c>
      <c r="H3" s="51" t="s">
        <v>78</v>
      </c>
      <c r="I3"/>
      <c r="J3" s="19" t="s">
        <v>77</v>
      </c>
      <c r="K3" s="51" t="s">
        <v>78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" x14ac:dyDescent="0.25">
      <c r="A4" s="52" t="s">
        <v>79</v>
      </c>
      <c r="B4" s="53" t="s">
        <v>80</v>
      </c>
      <c r="C4"/>
      <c r="D4" s="52" t="s">
        <v>79</v>
      </c>
      <c r="E4" s="53" t="s">
        <v>80</v>
      </c>
      <c r="F4"/>
      <c r="G4" s="52" t="s">
        <v>79</v>
      </c>
      <c r="H4" s="53" t="s">
        <v>80</v>
      </c>
      <c r="I4"/>
      <c r="J4" s="52" t="s">
        <v>79</v>
      </c>
      <c r="K4" s="53" t="s">
        <v>80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0" x14ac:dyDescent="0.25">
      <c r="A5" s="19" t="s">
        <v>81</v>
      </c>
      <c r="B5" s="54">
        <v>377540</v>
      </c>
      <c r="C5"/>
      <c r="D5" s="55" t="s">
        <v>82</v>
      </c>
      <c r="E5" s="56">
        <v>24845</v>
      </c>
      <c r="F5"/>
      <c r="G5" s="19" t="s">
        <v>83</v>
      </c>
      <c r="H5" s="54">
        <v>76950</v>
      </c>
      <c r="I5"/>
      <c r="J5" s="55" t="s">
        <v>83</v>
      </c>
      <c r="K5" s="56">
        <v>68549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5" x14ac:dyDescent="0.25">
      <c r="A6" s="19" t="s">
        <v>84</v>
      </c>
      <c r="B6" s="54">
        <v>11400</v>
      </c>
      <c r="C6"/>
      <c r="D6" s="57" t="s">
        <v>85</v>
      </c>
      <c r="E6" s="54">
        <v>2755</v>
      </c>
      <c r="F6"/>
      <c r="G6" s="19" t="s">
        <v>84</v>
      </c>
      <c r="H6" s="54">
        <v>6650</v>
      </c>
      <c r="I6"/>
      <c r="J6" s="57" t="s">
        <v>84</v>
      </c>
      <c r="K6" s="54">
        <v>6650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5" x14ac:dyDescent="0.25">
      <c r="A7" s="19" t="s">
        <v>86</v>
      </c>
      <c r="B7" s="54">
        <v>70982</v>
      </c>
      <c r="C7"/>
      <c r="D7" s="52" t="s">
        <v>87</v>
      </c>
      <c r="E7" s="58">
        <f>SUM(E4:E6)</f>
        <v>27600</v>
      </c>
      <c r="F7"/>
      <c r="G7" s="52" t="s">
        <v>87</v>
      </c>
      <c r="H7" s="58">
        <f>SUM(H4:H6)</f>
        <v>83600</v>
      </c>
      <c r="I7"/>
      <c r="J7" s="52" t="s">
        <v>87</v>
      </c>
      <c r="K7" s="58">
        <f>SUM(K4:K6)</f>
        <v>75199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52" t="s">
        <v>87</v>
      </c>
      <c r="B8" s="58">
        <f>SUM(B5:B7)</f>
        <v>459922</v>
      </c>
      <c r="C8"/>
      <c r="D8" s="21"/>
      <c r="E8" s="59"/>
      <c r="F8"/>
      <c r="G8" s="21"/>
      <c r="H8" s="59"/>
      <c r="I8"/>
      <c r="J8" s="21"/>
      <c r="K8" s="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1"/>
      <c r="B9" s="59"/>
      <c r="C9"/>
      <c r="D9" s="52" t="s">
        <v>88</v>
      </c>
      <c r="E9" s="58" t="s">
        <v>89</v>
      </c>
      <c r="F9"/>
      <c r="G9" s="52" t="s">
        <v>90</v>
      </c>
      <c r="H9" s="58" t="s">
        <v>91</v>
      </c>
      <c r="I9"/>
      <c r="J9" s="52" t="s">
        <v>90</v>
      </c>
      <c r="K9" s="58" t="s">
        <v>91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" x14ac:dyDescent="0.25">
      <c r="A10" s="52" t="s">
        <v>88</v>
      </c>
      <c r="B10" s="58" t="s">
        <v>89</v>
      </c>
      <c r="C10"/>
      <c r="D10" s="19" t="s">
        <v>92</v>
      </c>
      <c r="E10" s="60"/>
      <c r="F10"/>
      <c r="G10" s="19" t="s">
        <v>93</v>
      </c>
      <c r="H10" s="60"/>
      <c r="I10"/>
      <c r="J10" s="19" t="s">
        <v>94</v>
      </c>
      <c r="K10" s="5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5" x14ac:dyDescent="0.25">
      <c r="A11" s="19" t="s">
        <v>95</v>
      </c>
      <c r="B11" s="54">
        <v>15000</v>
      </c>
      <c r="C11"/>
      <c r="D11" s="19" t="s">
        <v>96</v>
      </c>
      <c r="E11" s="60">
        <v>500</v>
      </c>
      <c r="F11"/>
      <c r="G11" s="19" t="s">
        <v>97</v>
      </c>
      <c r="H11" s="54"/>
      <c r="I11"/>
      <c r="J11" s="19" t="s">
        <v>98</v>
      </c>
      <c r="K11" s="5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5" x14ac:dyDescent="0.25">
      <c r="A12" s="19" t="s">
        <v>99</v>
      </c>
      <c r="B12" s="54"/>
      <c r="C12"/>
      <c r="D12" s="19" t="s">
        <v>100</v>
      </c>
      <c r="E12" s="54"/>
      <c r="F12"/>
      <c r="G12" s="19" t="s">
        <v>94</v>
      </c>
      <c r="H12" s="54"/>
      <c r="I12"/>
      <c r="J12" s="19" t="s">
        <v>101</v>
      </c>
      <c r="K12" s="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0" x14ac:dyDescent="0.25">
      <c r="A13" s="19" t="s">
        <v>102</v>
      </c>
      <c r="B13" s="54">
        <v>795</v>
      </c>
      <c r="C13"/>
      <c r="D13" s="19" t="s">
        <v>103</v>
      </c>
      <c r="E13" s="54"/>
      <c r="F13"/>
      <c r="G13" s="19" t="s">
        <v>104</v>
      </c>
      <c r="H13" s="54"/>
      <c r="I13"/>
      <c r="J13" s="19" t="s">
        <v>105</v>
      </c>
      <c r="K13" s="5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5" x14ac:dyDescent="0.25">
      <c r="A14" s="61" t="s">
        <v>106</v>
      </c>
      <c r="B14" s="62"/>
      <c r="C14"/>
      <c r="D14" s="19" t="s">
        <v>107</v>
      </c>
      <c r="E14" s="54">
        <f>442*12</f>
        <v>5304</v>
      </c>
      <c r="F14"/>
      <c r="G14" s="19" t="s">
        <v>108</v>
      </c>
      <c r="H14" s="54"/>
      <c r="I14"/>
      <c r="J14" s="19" t="s">
        <v>109</v>
      </c>
      <c r="K14" s="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5" x14ac:dyDescent="0.25">
      <c r="A15" s="19" t="s">
        <v>110</v>
      </c>
      <c r="B15" s="54"/>
      <c r="C15"/>
      <c r="D15" s="19" t="s">
        <v>111</v>
      </c>
      <c r="E15" s="54"/>
      <c r="F15"/>
      <c r="G15" s="19" t="s">
        <v>112</v>
      </c>
      <c r="H15" s="54"/>
      <c r="I15"/>
      <c r="J15" s="19" t="s">
        <v>113</v>
      </c>
      <c r="K15" s="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65" x14ac:dyDescent="0.25">
      <c r="A16" s="52" t="s">
        <v>114</v>
      </c>
      <c r="B16" s="58">
        <f>SUM(B11:B15)</f>
        <v>15795</v>
      </c>
      <c r="C16"/>
      <c r="D16" s="19" t="s">
        <v>115</v>
      </c>
      <c r="E16" s="54">
        <f>SUM(E10:E15)</f>
        <v>5804</v>
      </c>
      <c r="F16"/>
      <c r="G16" s="19" t="s">
        <v>116</v>
      </c>
      <c r="H16" s="54"/>
      <c r="I16"/>
      <c r="J16" s="19" t="s">
        <v>117</v>
      </c>
      <c r="K16" s="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35" x14ac:dyDescent="0.25">
      <c r="A17" s="52" t="s">
        <v>118</v>
      </c>
      <c r="B17" s="58">
        <f>B8+B16</f>
        <v>475717</v>
      </c>
      <c r="C17"/>
      <c r="D17" s="52" t="s">
        <v>118</v>
      </c>
      <c r="E17" s="58">
        <f>E16+E7</f>
        <v>33404</v>
      </c>
      <c r="F17"/>
      <c r="G17" s="19" t="s">
        <v>119</v>
      </c>
      <c r="H17" s="54"/>
      <c r="I17"/>
      <c r="J17" s="63" t="s">
        <v>120</v>
      </c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0" x14ac:dyDescent="0.25">
      <c r="A18" s="65"/>
      <c r="B18" s="48"/>
      <c r="C18" s="48"/>
      <c r="D18" s="65"/>
      <c r="E18" s="48"/>
      <c r="F18"/>
      <c r="G18" s="19" t="s">
        <v>121</v>
      </c>
      <c r="H18" s="54"/>
      <c r="I18"/>
      <c r="J18" s="19" t="s">
        <v>115</v>
      </c>
      <c r="K18" s="54">
        <f>SUM(K10:K17)</f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8" customFormat="1" ht="75" x14ac:dyDescent="0.25">
      <c r="A19" s="66" t="s">
        <v>122</v>
      </c>
      <c r="B19" s="67"/>
      <c r="C19" s="67"/>
      <c r="D19" s="66" t="s">
        <v>122</v>
      </c>
      <c r="E19" s="67"/>
      <c r="G19" s="19" t="s">
        <v>123</v>
      </c>
      <c r="H19" s="64"/>
      <c r="J19" s="52" t="s">
        <v>118</v>
      </c>
      <c r="K19" s="58">
        <f>K18+K7</f>
        <v>75199</v>
      </c>
    </row>
    <row r="20" spans="1:1024" ht="90" x14ac:dyDescent="0.25">
      <c r="A20" s="19" t="s">
        <v>124</v>
      </c>
      <c r="B20" s="54">
        <v>3500</v>
      </c>
      <c r="C20" s="48"/>
      <c r="D20" s="19" t="s">
        <v>125</v>
      </c>
      <c r="E20" s="54">
        <v>550</v>
      </c>
      <c r="F20"/>
      <c r="G20" s="19" t="s">
        <v>114</v>
      </c>
      <c r="H20" s="54">
        <f>SUM(H10:H19)</f>
        <v>0</v>
      </c>
      <c r="I20"/>
      <c r="J20" s="65"/>
      <c r="K20" s="4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1024" ht="150" x14ac:dyDescent="0.25">
      <c r="A21" s="19" t="s">
        <v>126</v>
      </c>
      <c r="B21" s="69" t="s">
        <v>127</v>
      </c>
      <c r="C21" s="48"/>
      <c r="D21" s="19" t="s">
        <v>128</v>
      </c>
      <c r="E21" s="54">
        <v>2200</v>
      </c>
      <c r="F21"/>
      <c r="G21" s="52" t="s">
        <v>118</v>
      </c>
      <c r="H21" s="58">
        <f>H20+H7</f>
        <v>83600</v>
      </c>
      <c r="I21"/>
      <c r="J21" s="70" t="s">
        <v>122</v>
      </c>
      <c r="K21" s="4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024" ht="90" x14ac:dyDescent="0.25">
      <c r="A22" s="19" t="s">
        <v>129</v>
      </c>
      <c r="B22" s="54">
        <v>850</v>
      </c>
      <c r="C22" s="48"/>
      <c r="D22" s="19" t="s">
        <v>130</v>
      </c>
      <c r="E22" s="54">
        <v>6419</v>
      </c>
      <c r="F22"/>
      <c r="G22" s="65"/>
      <c r="H22" s="48"/>
      <c r="I22"/>
      <c r="J22" s="19" t="s">
        <v>128</v>
      </c>
      <c r="K22" s="54">
        <v>2200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24" ht="75" x14ac:dyDescent="0.25">
      <c r="A23" s="19" t="s">
        <v>131</v>
      </c>
      <c r="B23" s="54">
        <v>850</v>
      </c>
      <c r="C23" s="48"/>
      <c r="D23"/>
      <c r="E23"/>
      <c r="F23"/>
      <c r="G23" s="70" t="s">
        <v>122</v>
      </c>
      <c r="H23" s="4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024" ht="90" x14ac:dyDescent="0.25">
      <c r="A24" s="19" t="s">
        <v>128</v>
      </c>
      <c r="B24" s="54">
        <v>2200</v>
      </c>
      <c r="C24" s="48"/>
      <c r="D24"/>
      <c r="E24"/>
      <c r="F24"/>
      <c r="G24" s="19" t="s">
        <v>128</v>
      </c>
      <c r="H24" s="54">
        <v>2200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0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10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A46"/>
      <c r="B46"/>
      <c r="C46" s="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5">
      <c r="A47"/>
      <c r="B47"/>
      <c r="C47" s="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05" x14ac:dyDescent="0.25">
      <c r="A51" s="1" t="s">
        <v>132</v>
      </c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45" x14ac:dyDescent="0.25">
      <c r="A52" s="1" t="s">
        <v>76</v>
      </c>
      <c r="B52" s="50">
        <v>2014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x14ac:dyDescent="0.25">
      <c r="A53" s="19" t="s">
        <v>77</v>
      </c>
      <c r="B53" s="51" t="s">
        <v>78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45" x14ac:dyDescent="0.25">
      <c r="A54" s="52" t="s">
        <v>79</v>
      </c>
      <c r="B54" s="53" t="s">
        <v>80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45" x14ac:dyDescent="0.25">
      <c r="A55" s="55" t="s">
        <v>83</v>
      </c>
      <c r="B55" s="56">
        <v>106150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 t="s">
        <v>133</v>
      </c>
      <c r="Z55" s="71">
        <v>40995.9</v>
      </c>
      <c r="AA55" s="71">
        <v>49031.096400000002</v>
      </c>
      <c r="AB55" s="71"/>
    </row>
    <row r="56" spans="1:28" ht="45" x14ac:dyDescent="0.25">
      <c r="A56" s="57" t="s">
        <v>84</v>
      </c>
      <c r="B56" s="54">
        <v>6650</v>
      </c>
      <c r="O56" s="4"/>
      <c r="P56" s="5"/>
      <c r="Q56" s="5"/>
      <c r="R56" s="4"/>
      <c r="S56" s="5"/>
      <c r="T56" s="5"/>
      <c r="U56" s="4"/>
      <c r="V56" s="5"/>
      <c r="W56" s="5"/>
      <c r="X56" s="7" t="s">
        <v>134</v>
      </c>
      <c r="Y56" s="4"/>
      <c r="Z56" s="5"/>
      <c r="AA56" s="7" t="s">
        <v>135</v>
      </c>
    </row>
    <row r="57" spans="1:28" ht="60" x14ac:dyDescent="0.25">
      <c r="A57" s="52" t="s">
        <v>87</v>
      </c>
      <c r="B57" s="58">
        <f>SUM(B54:B56)</f>
        <v>112800</v>
      </c>
      <c r="O57" s="4"/>
      <c r="P57" s="5"/>
      <c r="Q57" s="5"/>
      <c r="R57" s="4"/>
      <c r="S57" s="5"/>
      <c r="T57" s="5"/>
      <c r="U57" s="4"/>
      <c r="V57" s="5"/>
      <c r="W57" s="5"/>
      <c r="X57" s="7">
        <v>6.3500000000000001E-2</v>
      </c>
      <c r="Y57" s="5">
        <v>2603.5</v>
      </c>
      <c r="Z57" s="5">
        <v>3113.7860000000001</v>
      </c>
      <c r="AA57" s="7">
        <v>0.110811882825172</v>
      </c>
    </row>
    <row r="58" spans="1:28" x14ac:dyDescent="0.25">
      <c r="A58" s="21"/>
      <c r="B58" s="59"/>
      <c r="O58" s="4"/>
      <c r="P58" s="5"/>
      <c r="Q58" s="5"/>
      <c r="R58" s="4"/>
      <c r="S58" s="5"/>
      <c r="T58" s="5"/>
      <c r="U58" s="4"/>
      <c r="V58" s="5"/>
      <c r="W58" s="5"/>
      <c r="X58" s="7">
        <v>4.9399999999999999E-2</v>
      </c>
      <c r="Y58" s="5">
        <v>2025.4</v>
      </c>
      <c r="Z58" s="5">
        <v>2422.3784000000001</v>
      </c>
      <c r="AA58" s="7">
        <v>1.2856277780295199E-2</v>
      </c>
    </row>
    <row r="59" spans="1:28" x14ac:dyDescent="0.25">
      <c r="A59" s="52" t="s">
        <v>90</v>
      </c>
      <c r="B59" s="58" t="s">
        <v>91</v>
      </c>
      <c r="O59" s="4"/>
      <c r="P59" s="5"/>
      <c r="Q59" s="5"/>
      <c r="R59" s="4"/>
      <c r="S59" s="5"/>
      <c r="T59" s="5"/>
      <c r="U59" s="4"/>
      <c r="V59" s="5"/>
      <c r="W59" s="5"/>
      <c r="X59" s="7">
        <v>2.3199999999999998E-2</v>
      </c>
      <c r="Y59" s="5">
        <v>951.2</v>
      </c>
      <c r="Z59" s="5">
        <v>1137.6351999999999</v>
      </c>
      <c r="AA59" s="7">
        <v>3.5321249452106199E-2</v>
      </c>
    </row>
    <row r="60" spans="1:28" ht="75" x14ac:dyDescent="0.25">
      <c r="A60" s="19" t="s">
        <v>94</v>
      </c>
      <c r="B60" s="54"/>
      <c r="O60" s="4"/>
      <c r="P60" s="5"/>
      <c r="Q60" s="5"/>
      <c r="R60" s="4"/>
      <c r="S60" s="5"/>
      <c r="T60" s="5"/>
      <c r="U60" s="4"/>
      <c r="V60" s="5"/>
      <c r="W60" s="5"/>
      <c r="X60" s="7">
        <v>0.17649999999999999</v>
      </c>
      <c r="Y60" s="5">
        <v>7236.5</v>
      </c>
      <c r="Z60" s="5">
        <v>8654.8539999999994</v>
      </c>
      <c r="AA60" s="7">
        <v>0.22199068848881401</v>
      </c>
    </row>
    <row r="61" spans="1:28" ht="75" x14ac:dyDescent="0.25">
      <c r="A61" s="19" t="s">
        <v>136</v>
      </c>
      <c r="B61" s="54"/>
      <c r="O61" s="4"/>
      <c r="P61" s="5"/>
      <c r="Q61" s="5"/>
      <c r="R61" s="4"/>
      <c r="S61" s="5"/>
      <c r="T61" s="5"/>
      <c r="U61" s="4"/>
      <c r="V61" s="5"/>
      <c r="W61" s="5"/>
      <c r="X61" s="7">
        <v>9.9400000000000002E-2</v>
      </c>
      <c r="Y61" s="5">
        <v>4075.4</v>
      </c>
      <c r="Z61" s="5">
        <v>4874.1783999999998</v>
      </c>
      <c r="AA61" s="7">
        <v>0.110811882825172</v>
      </c>
    </row>
    <row r="62" spans="1:28" ht="135" x14ac:dyDescent="0.25">
      <c r="A62" s="19" t="s">
        <v>101</v>
      </c>
      <c r="B62" s="54"/>
      <c r="O62" s="4"/>
      <c r="P62" s="5"/>
      <c r="Q62" s="5"/>
      <c r="R62" s="4"/>
      <c r="S62" s="5"/>
      <c r="T62" s="5"/>
      <c r="U62" s="4"/>
      <c r="V62" s="5"/>
      <c r="W62" s="5"/>
      <c r="X62" s="7">
        <v>8.0000000000000002E-3</v>
      </c>
      <c r="Y62" s="5">
        <v>328</v>
      </c>
      <c r="Z62" s="5">
        <v>392.28800000000001</v>
      </c>
      <c r="AA62" s="7">
        <v>0</v>
      </c>
    </row>
    <row r="63" spans="1:28" ht="135" x14ac:dyDescent="0.25">
      <c r="A63" s="19" t="s">
        <v>105</v>
      </c>
      <c r="B63" s="54"/>
      <c r="O63" s="4"/>
      <c r="P63" s="5"/>
      <c r="Q63" s="5"/>
      <c r="R63" s="4"/>
      <c r="S63" s="5"/>
      <c r="T63" s="5"/>
      <c r="U63" s="4"/>
      <c r="V63" s="5"/>
      <c r="W63" s="5"/>
      <c r="X63" s="7">
        <v>2.4E-2</v>
      </c>
      <c r="Y63" s="5">
        <v>984</v>
      </c>
      <c r="Z63" s="5">
        <v>1176.864</v>
      </c>
      <c r="AA63" s="7"/>
    </row>
    <row r="64" spans="1:28" ht="165" x14ac:dyDescent="0.25">
      <c r="A64" s="19" t="s">
        <v>109</v>
      </c>
      <c r="B64" s="54"/>
      <c r="O64" s="4"/>
      <c r="P64" s="5"/>
      <c r="Q64" s="5"/>
      <c r="R64" s="4"/>
      <c r="S64" s="5"/>
      <c r="T64" s="5"/>
      <c r="U64" s="4"/>
      <c r="V64" s="5"/>
      <c r="W64" s="5"/>
      <c r="X64" s="7">
        <v>1.41E-2</v>
      </c>
      <c r="Y64" s="5">
        <v>578.1</v>
      </c>
      <c r="Z64" s="5">
        <v>691.4076</v>
      </c>
      <c r="AA64" s="7"/>
    </row>
    <row r="65" spans="1:27" ht="135" x14ac:dyDescent="0.25">
      <c r="A65" s="19" t="s">
        <v>113</v>
      </c>
      <c r="B65" s="54"/>
      <c r="O65" s="4"/>
      <c r="P65" s="5"/>
      <c r="Q65" s="5"/>
      <c r="R65" s="4"/>
      <c r="S65" s="5"/>
      <c r="T65" s="5"/>
      <c r="U65" s="4"/>
      <c r="V65" s="5"/>
      <c r="W65" s="5"/>
      <c r="X65" s="7"/>
      <c r="Y65" s="5"/>
      <c r="Z65" s="5"/>
      <c r="AA65" s="7">
        <v>5.8875302039316103E-2</v>
      </c>
    </row>
    <row r="66" spans="1:27" ht="150" x14ac:dyDescent="0.25">
      <c r="A66" s="19" t="s">
        <v>117</v>
      </c>
      <c r="B66" s="54"/>
      <c r="O66" s="4"/>
      <c r="P66" s="5"/>
      <c r="Q66" s="5"/>
      <c r="R66" s="4"/>
      <c r="S66" s="5"/>
      <c r="T66" s="5"/>
      <c r="U66" s="4"/>
      <c r="V66" s="5"/>
      <c r="W66" s="5"/>
      <c r="X66" s="7">
        <v>5.1999999999999998E-2</v>
      </c>
      <c r="Y66" s="5">
        <v>2132</v>
      </c>
      <c r="Z66" s="5">
        <v>2549.8719999999998</v>
      </c>
      <c r="AA66" s="7">
        <v>8.1537554338618104E-2</v>
      </c>
    </row>
    <row r="67" spans="1:27" ht="60" x14ac:dyDescent="0.25">
      <c r="A67" s="63" t="s">
        <v>123</v>
      </c>
      <c r="B67" s="64"/>
      <c r="O67" s="4"/>
      <c r="P67" s="5"/>
      <c r="Q67" s="5"/>
      <c r="R67" s="4"/>
      <c r="S67" s="5"/>
      <c r="T67" s="5"/>
      <c r="U67" s="4"/>
      <c r="V67" s="5"/>
      <c r="W67" s="5"/>
      <c r="X67" s="7">
        <v>0.1011</v>
      </c>
      <c r="Y67" s="5">
        <v>4145.1000000000004</v>
      </c>
      <c r="Z67" s="5">
        <v>4957.5396000000001</v>
      </c>
      <c r="AA67" s="7">
        <v>0.136011361950751</v>
      </c>
    </row>
    <row r="68" spans="1:27" ht="30" x14ac:dyDescent="0.25">
      <c r="A68" s="19" t="s">
        <v>115</v>
      </c>
      <c r="B68" s="54">
        <f>SUM(B60:B67)</f>
        <v>0</v>
      </c>
      <c r="O68" s="4"/>
      <c r="P68" s="5"/>
      <c r="Q68" s="5"/>
      <c r="R68" s="4"/>
      <c r="S68" s="5"/>
      <c r="T68" s="5"/>
      <c r="U68" s="4"/>
      <c r="V68" s="5"/>
      <c r="W68" s="5"/>
      <c r="X68" s="7">
        <v>6.8999999999999999E-3</v>
      </c>
      <c r="Y68" s="5">
        <v>282.89999999999998</v>
      </c>
      <c r="Z68" s="5">
        <v>338.34840000000003</v>
      </c>
      <c r="AA68" s="7"/>
    </row>
    <row r="69" spans="1:27" ht="30" x14ac:dyDescent="0.25">
      <c r="A69" s="52" t="s">
        <v>118</v>
      </c>
      <c r="B69" s="58">
        <f>B68+B57</f>
        <v>112800</v>
      </c>
      <c r="O69" s="4"/>
      <c r="P69" s="5"/>
      <c r="Q69" s="5"/>
      <c r="R69" s="4"/>
      <c r="S69" s="5"/>
      <c r="T69" s="5"/>
      <c r="U69" s="4"/>
      <c r="V69" s="5"/>
      <c r="W69" s="5"/>
      <c r="X69" s="7">
        <v>5.3999999999999999E-2</v>
      </c>
      <c r="Y69" s="5">
        <v>2214</v>
      </c>
      <c r="Z69" s="5">
        <v>2647.944</v>
      </c>
      <c r="AA69" s="7">
        <v>5.7956272916372002E-2</v>
      </c>
    </row>
    <row r="70" spans="1:27" x14ac:dyDescent="0.25">
      <c r="A70" s="65"/>
      <c r="B70" s="48"/>
      <c r="O70" s="4"/>
      <c r="P70" s="5"/>
      <c r="Q70" s="5"/>
      <c r="R70" s="4"/>
      <c r="S70" s="5"/>
      <c r="T70" s="5"/>
      <c r="U70" s="4"/>
      <c r="V70" s="5"/>
      <c r="W70" s="5"/>
      <c r="X70" s="7">
        <v>0.1176</v>
      </c>
      <c r="Y70" s="5">
        <v>4821.6000000000004</v>
      </c>
      <c r="Z70" s="5">
        <v>5766.6336000000001</v>
      </c>
      <c r="AA70" s="7">
        <v>0.13584782123240699</v>
      </c>
    </row>
    <row r="71" spans="1:27" ht="75" x14ac:dyDescent="0.25">
      <c r="A71" s="70" t="s">
        <v>122</v>
      </c>
      <c r="B71" s="48"/>
      <c r="O71" s="4"/>
      <c r="P71" s="5"/>
      <c r="Q71" s="5"/>
      <c r="R71" s="4"/>
      <c r="S71" s="5"/>
      <c r="T71" s="5"/>
      <c r="U71" s="4"/>
      <c r="V71" s="5"/>
      <c r="W71" s="5"/>
      <c r="X71" s="7">
        <v>6.4699999999999994E-2</v>
      </c>
      <c r="Y71" s="5">
        <v>2652.7</v>
      </c>
      <c r="Z71" s="5">
        <v>3172.6291999999999</v>
      </c>
      <c r="AA71" s="7">
        <v>1.9195345695559099E-2</v>
      </c>
    </row>
    <row r="72" spans="1:27" ht="90" x14ac:dyDescent="0.25">
      <c r="A72" s="19" t="s">
        <v>128</v>
      </c>
      <c r="B72" s="54">
        <v>2200</v>
      </c>
      <c r="O72" s="4"/>
      <c r="P72" s="5"/>
      <c r="Q72" s="5"/>
      <c r="R72" s="4"/>
      <c r="S72" s="5"/>
      <c r="T72" s="5"/>
      <c r="U72" s="4"/>
      <c r="V72" s="5"/>
      <c r="W72" s="5"/>
      <c r="X72" s="7">
        <v>5.1400000000000001E-2</v>
      </c>
      <c r="Y72" s="5">
        <v>2107.4</v>
      </c>
      <c r="Z72" s="5">
        <v>2520.4504000000002</v>
      </c>
      <c r="AA72" s="7">
        <v>1.8798646169703601E-2</v>
      </c>
    </row>
    <row r="73" spans="1:27" x14ac:dyDescent="0.25">
      <c r="O73" s="4"/>
      <c r="P73" s="5"/>
      <c r="Q73" s="5"/>
      <c r="R73" s="4"/>
      <c r="S73" s="5"/>
      <c r="T73" s="5"/>
      <c r="U73" s="4"/>
      <c r="V73" s="5"/>
      <c r="W73" s="5"/>
      <c r="X73" s="7"/>
      <c r="Y73" s="5"/>
      <c r="Z73" s="5"/>
      <c r="AA73" s="7"/>
    </row>
    <row r="74" spans="1:27" x14ac:dyDescent="0.25">
      <c r="O74" s="4"/>
      <c r="P74" s="5"/>
      <c r="Q74" s="5"/>
      <c r="R74" s="4"/>
      <c r="S74" s="5"/>
      <c r="T74" s="5"/>
      <c r="U74" s="4"/>
      <c r="V74" s="5"/>
      <c r="W74" s="5"/>
      <c r="X74" s="7">
        <v>9.4100000000000003E-2</v>
      </c>
      <c r="Y74" s="5">
        <v>3858.1</v>
      </c>
      <c r="Z74" s="5">
        <v>4614.2875999999997</v>
      </c>
      <c r="AA74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>
      <selection activeCell="F34" sqref="F34"/>
    </sheetView>
  </sheetViews>
  <sheetFormatPr baseColWidth="10" defaultColWidth="9.140625" defaultRowHeight="15" x14ac:dyDescent="0.25"/>
  <cols>
    <col min="7" max="12" width="0" hidden="1"/>
  </cols>
  <sheetData>
    <row r="1" spans="1:12" x14ac:dyDescent="0.25">
      <c r="C1" t="s">
        <v>137</v>
      </c>
      <c r="D1" s="72" t="s">
        <v>63</v>
      </c>
      <c r="E1" s="72" t="s">
        <v>64</v>
      </c>
      <c r="F1" s="28" t="s">
        <v>138</v>
      </c>
      <c r="I1" t="s">
        <v>139</v>
      </c>
      <c r="J1" s="72" t="s">
        <v>63</v>
      </c>
      <c r="K1" s="72" t="s">
        <v>64</v>
      </c>
      <c r="L1" s="28" t="s">
        <v>138</v>
      </c>
    </row>
    <row r="2" spans="1:12" x14ac:dyDescent="0.25">
      <c r="A2" s="73" t="s">
        <v>140</v>
      </c>
      <c r="B2" s="74"/>
      <c r="C2" s="75" t="s">
        <v>141</v>
      </c>
      <c r="D2" s="76" t="e">
        <f>IF(C2=#REF!,#REF!,(D28-D26-D24))</f>
        <v>#REF!</v>
      </c>
      <c r="E2" s="77" t="e">
        <f t="shared" ref="E2:E18" si="0">D2*1.2</f>
        <v>#REF!</v>
      </c>
      <c r="G2" s="73" t="s">
        <v>140</v>
      </c>
      <c r="H2" s="74"/>
      <c r="I2" s="75" t="s">
        <v>141</v>
      </c>
      <c r="J2" s="76">
        <f>J27-J25-J23</f>
        <v>80000</v>
      </c>
      <c r="K2" s="77">
        <f t="shared" ref="K2:K18" si="1">J2*1.2</f>
        <v>96000</v>
      </c>
    </row>
    <row r="3" spans="1:12" x14ac:dyDescent="0.25">
      <c r="A3" s="78" t="s">
        <v>17</v>
      </c>
      <c r="B3" s="79" t="s">
        <v>142</v>
      </c>
      <c r="C3" s="80">
        <v>5.0327994600000002E-2</v>
      </c>
      <c r="D3" s="81" t="e">
        <f t="shared" ref="D3:D18" si="2">C3*$D$2</f>
        <v>#REF!</v>
      </c>
      <c r="E3" s="82" t="e">
        <f t="shared" si="0"/>
        <v>#REF!</v>
      </c>
      <c r="G3" s="78" t="s">
        <v>17</v>
      </c>
      <c r="H3" s="79" t="s">
        <v>142</v>
      </c>
      <c r="I3" s="80">
        <v>9.9373944151843405E-2</v>
      </c>
      <c r="J3" s="81">
        <f t="shared" ref="J3:J19" si="3">I3*$J$2</f>
        <v>7949.9155321474727</v>
      </c>
      <c r="K3" s="82">
        <f t="shared" si="1"/>
        <v>9539.8986385769676</v>
      </c>
      <c r="L3" s="83"/>
    </row>
    <row r="4" spans="1:12" ht="30" x14ac:dyDescent="0.25">
      <c r="A4" s="84" t="s">
        <v>18</v>
      </c>
      <c r="B4" s="85" t="s">
        <v>143</v>
      </c>
      <c r="C4" s="83">
        <v>3.9143999999999998E-2</v>
      </c>
      <c r="D4" s="86" t="e">
        <f t="shared" si="2"/>
        <v>#REF!</v>
      </c>
      <c r="E4" s="87" t="e">
        <f t="shared" si="0"/>
        <v>#REF!</v>
      </c>
      <c r="G4" s="84" t="s">
        <v>18</v>
      </c>
      <c r="H4" s="85" t="s">
        <v>143</v>
      </c>
      <c r="I4" s="83">
        <v>8.2568807339449504E-2</v>
      </c>
      <c r="J4" s="86">
        <f t="shared" si="3"/>
        <v>6605.5045871559605</v>
      </c>
      <c r="K4" s="87">
        <f t="shared" si="1"/>
        <v>7926.6055045871526</v>
      </c>
      <c r="L4" s="83"/>
    </row>
    <row r="5" spans="1:12" x14ac:dyDescent="0.25">
      <c r="A5" s="84" t="s">
        <v>144</v>
      </c>
      <c r="B5" s="85" t="s">
        <v>145</v>
      </c>
      <c r="C5" s="83">
        <f>0.0183407</f>
        <v>1.8340700000000001E-2</v>
      </c>
      <c r="D5" s="86" t="e">
        <f t="shared" si="2"/>
        <v>#REF!</v>
      </c>
      <c r="E5" s="87" t="e">
        <f t="shared" si="0"/>
        <v>#REF!</v>
      </c>
      <c r="G5" s="84" t="s">
        <v>144</v>
      </c>
      <c r="H5" s="85" t="s">
        <v>145</v>
      </c>
      <c r="I5" s="83">
        <v>2.9812183245553001E-2</v>
      </c>
      <c r="J5" s="86">
        <f t="shared" si="3"/>
        <v>2384.9746596442401</v>
      </c>
      <c r="K5" s="87">
        <f t="shared" si="1"/>
        <v>2861.9695915730881</v>
      </c>
      <c r="L5" s="83"/>
    </row>
    <row r="6" spans="1:12" ht="30" x14ac:dyDescent="0.25">
      <c r="A6" s="84" t="s">
        <v>20</v>
      </c>
      <c r="B6" s="85" t="s">
        <v>65</v>
      </c>
      <c r="C6" s="83">
        <v>0.15001149221767801</v>
      </c>
      <c r="D6" s="86" t="e">
        <f t="shared" si="2"/>
        <v>#REF!</v>
      </c>
      <c r="E6" s="87" t="e">
        <f t="shared" si="0"/>
        <v>#REF!</v>
      </c>
      <c r="G6" s="84" t="s">
        <v>20</v>
      </c>
      <c r="H6" s="85" t="s">
        <v>65</v>
      </c>
      <c r="I6" s="83">
        <v>0.18881049388850199</v>
      </c>
      <c r="J6" s="86">
        <f t="shared" si="3"/>
        <v>15104.839511080159</v>
      </c>
      <c r="K6" s="87">
        <f t="shared" si="1"/>
        <v>18125.807413296192</v>
      </c>
      <c r="L6" s="83"/>
    </row>
    <row r="7" spans="1:12" ht="30" x14ac:dyDescent="0.25">
      <c r="A7" s="84" t="s">
        <v>21</v>
      </c>
      <c r="B7" s="85" t="s">
        <v>66</v>
      </c>
      <c r="C7" s="83">
        <v>7.8669500000000003E-2</v>
      </c>
      <c r="D7" s="86" t="e">
        <f t="shared" si="2"/>
        <v>#REF!</v>
      </c>
      <c r="E7" s="87" t="e">
        <f t="shared" si="0"/>
        <v>#REF!</v>
      </c>
      <c r="G7" s="84" t="s">
        <v>21</v>
      </c>
      <c r="H7" s="85" t="s">
        <v>66</v>
      </c>
      <c r="I7" s="83">
        <v>9.9373944151843405E-2</v>
      </c>
      <c r="J7" s="86">
        <f t="shared" si="3"/>
        <v>7949.9155321474727</v>
      </c>
      <c r="K7" s="87">
        <f t="shared" si="1"/>
        <v>9539.8986385769676</v>
      </c>
      <c r="L7" s="83"/>
    </row>
    <row r="8" spans="1:12" x14ac:dyDescent="0.25">
      <c r="A8" s="84" t="s">
        <v>22</v>
      </c>
      <c r="B8" s="85" t="s">
        <v>146</v>
      </c>
      <c r="C8" s="83">
        <v>6.3579999999999999E-3</v>
      </c>
      <c r="D8" s="86" t="e">
        <f t="shared" si="2"/>
        <v>#REF!</v>
      </c>
      <c r="E8" s="87" t="e">
        <f t="shared" si="0"/>
        <v>#REF!</v>
      </c>
      <c r="G8" s="84" t="s">
        <v>22</v>
      </c>
      <c r="H8" s="85" t="s">
        <v>146</v>
      </c>
      <c r="I8" s="83">
        <v>9.9373944151843405E-3</v>
      </c>
      <c r="J8" s="86">
        <f t="shared" si="3"/>
        <v>794.99155321474723</v>
      </c>
      <c r="K8" s="87">
        <f t="shared" si="1"/>
        <v>953.98986385769661</v>
      </c>
      <c r="L8" s="83"/>
    </row>
    <row r="9" spans="1:12" x14ac:dyDescent="0.25">
      <c r="A9" s="84" t="s">
        <v>23</v>
      </c>
      <c r="B9" s="85" t="s">
        <v>147</v>
      </c>
      <c r="C9" s="83">
        <v>1.9002739726027399E-2</v>
      </c>
      <c r="D9" s="86" t="e">
        <f t="shared" si="2"/>
        <v>#REF!</v>
      </c>
      <c r="E9" s="87" t="e">
        <f t="shared" si="0"/>
        <v>#REF!</v>
      </c>
      <c r="G9" s="84" t="s">
        <v>23</v>
      </c>
      <c r="H9" s="85" t="s">
        <v>147</v>
      </c>
      <c r="I9" s="83">
        <v>0</v>
      </c>
      <c r="J9" s="86">
        <f t="shared" si="3"/>
        <v>0</v>
      </c>
      <c r="K9" s="87">
        <f t="shared" si="1"/>
        <v>0</v>
      </c>
      <c r="L9" s="83"/>
    </row>
    <row r="10" spans="1:12" x14ac:dyDescent="0.25">
      <c r="A10" s="84" t="s">
        <v>24</v>
      </c>
      <c r="B10" s="85" t="s">
        <v>148</v>
      </c>
      <c r="C10" s="83">
        <v>1.11627906976744E-2</v>
      </c>
      <c r="D10" s="86" t="e">
        <f t="shared" si="2"/>
        <v>#REF!</v>
      </c>
      <c r="E10" s="87" t="e">
        <f t="shared" si="0"/>
        <v>#REF!</v>
      </c>
      <c r="G10" s="84" t="s">
        <v>24</v>
      </c>
      <c r="H10" s="85" t="s">
        <v>148</v>
      </c>
      <c r="I10" s="83">
        <v>0</v>
      </c>
      <c r="J10" s="86">
        <f t="shared" si="3"/>
        <v>0</v>
      </c>
      <c r="K10" s="87">
        <f t="shared" si="1"/>
        <v>0</v>
      </c>
      <c r="L10" s="83"/>
    </row>
    <row r="11" spans="1:12" ht="30" x14ac:dyDescent="0.25">
      <c r="A11" s="84" t="s">
        <v>25</v>
      </c>
      <c r="B11" s="85" t="s">
        <v>67</v>
      </c>
      <c r="C11" s="83">
        <v>0.15</v>
      </c>
      <c r="D11" s="86" t="e">
        <f t="shared" si="2"/>
        <v>#REF!</v>
      </c>
      <c r="E11" s="87" t="e">
        <f t="shared" si="0"/>
        <v>#REF!</v>
      </c>
      <c r="G11" s="84" t="s">
        <v>25</v>
      </c>
      <c r="H11" s="85" t="s">
        <v>67</v>
      </c>
      <c r="I11" s="83">
        <v>9.9373944151843405E-2</v>
      </c>
      <c r="J11" s="86">
        <f t="shared" si="3"/>
        <v>7949.9155321474727</v>
      </c>
      <c r="K11" s="87">
        <f t="shared" si="1"/>
        <v>9539.8986385769676</v>
      </c>
      <c r="L11" s="83"/>
    </row>
    <row r="12" spans="1:12" ht="30" x14ac:dyDescent="0.25">
      <c r="A12" s="84" t="s">
        <v>26</v>
      </c>
      <c r="B12" s="85" t="s">
        <v>149</v>
      </c>
      <c r="C12" s="83">
        <v>4.1017600000000001E-2</v>
      </c>
      <c r="D12" s="86" t="e">
        <f t="shared" si="2"/>
        <v>#REF!</v>
      </c>
      <c r="E12" s="87" t="e">
        <f t="shared" si="0"/>
        <v>#REF!</v>
      </c>
      <c r="G12" s="84" t="s">
        <v>26</v>
      </c>
      <c r="H12" s="85" t="s">
        <v>149</v>
      </c>
      <c r="I12" s="83">
        <v>6.9561760906290404E-2</v>
      </c>
      <c r="J12" s="86">
        <f t="shared" si="3"/>
        <v>5564.9408725032326</v>
      </c>
      <c r="K12" s="87">
        <f t="shared" si="1"/>
        <v>6677.9290470038786</v>
      </c>
      <c r="L12" s="83"/>
    </row>
    <row r="13" spans="1:12" x14ac:dyDescent="0.25">
      <c r="A13" s="84" t="s">
        <v>27</v>
      </c>
      <c r="B13" s="85" t="s">
        <v>68</v>
      </c>
      <c r="C13" s="83">
        <v>7.99729E-2</v>
      </c>
      <c r="D13" s="86" t="e">
        <f t="shared" si="2"/>
        <v>#REF!</v>
      </c>
      <c r="E13" s="87" t="e">
        <f t="shared" si="0"/>
        <v>#REF!</v>
      </c>
      <c r="G13" s="84" t="s">
        <v>27</v>
      </c>
      <c r="H13" s="85" t="s">
        <v>68</v>
      </c>
      <c r="I13" s="83">
        <v>0.12581288342159999</v>
      </c>
      <c r="J13" s="86">
        <f t="shared" si="3"/>
        <v>10065.030673727999</v>
      </c>
      <c r="K13" s="87">
        <f t="shared" si="1"/>
        <v>12078.036808473598</v>
      </c>
      <c r="L13" s="83"/>
    </row>
    <row r="14" spans="1:12" ht="45" x14ac:dyDescent="0.25">
      <c r="A14" s="84" t="s">
        <v>28</v>
      </c>
      <c r="B14" s="85" t="s">
        <v>150</v>
      </c>
      <c r="C14" s="83">
        <v>5.5577999999999999E-3</v>
      </c>
      <c r="D14" s="86" t="e">
        <f t="shared" si="2"/>
        <v>#REF!</v>
      </c>
      <c r="E14" s="87" t="e">
        <f t="shared" si="0"/>
        <v>#REF!</v>
      </c>
      <c r="G14" s="84" t="s">
        <v>28</v>
      </c>
      <c r="H14" s="85" t="s">
        <v>150</v>
      </c>
      <c r="I14" s="83">
        <v>0</v>
      </c>
      <c r="J14" s="86">
        <f t="shared" si="3"/>
        <v>0</v>
      </c>
      <c r="K14" s="87">
        <f t="shared" si="1"/>
        <v>0</v>
      </c>
      <c r="L14" s="83"/>
    </row>
    <row r="15" spans="1:12" ht="30" x14ac:dyDescent="0.25">
      <c r="A15" s="84" t="s">
        <v>29</v>
      </c>
      <c r="B15" s="85" t="s">
        <v>69</v>
      </c>
      <c r="C15" s="83">
        <v>4.2734482758620698E-2</v>
      </c>
      <c r="D15" s="86" t="e">
        <f t="shared" si="2"/>
        <v>#REF!</v>
      </c>
      <c r="E15" s="87" t="e">
        <f t="shared" si="0"/>
        <v>#REF!</v>
      </c>
      <c r="G15" s="84" t="s">
        <v>29</v>
      </c>
      <c r="H15" s="85" t="s">
        <v>69</v>
      </c>
      <c r="I15" s="83">
        <v>4.9686972075921702E-2</v>
      </c>
      <c r="J15" s="86">
        <f t="shared" si="3"/>
        <v>3974.9577660737364</v>
      </c>
      <c r="K15" s="87">
        <f t="shared" si="1"/>
        <v>4769.9493192884838</v>
      </c>
      <c r="L15" s="83"/>
    </row>
    <row r="16" spans="1:12" x14ac:dyDescent="0.25">
      <c r="A16" s="84" t="s">
        <v>30</v>
      </c>
      <c r="B16" s="85" t="s">
        <v>70</v>
      </c>
      <c r="C16" s="83">
        <v>0.1</v>
      </c>
      <c r="D16" s="86" t="e">
        <f t="shared" si="2"/>
        <v>#REF!</v>
      </c>
      <c r="E16" s="87" t="e">
        <f t="shared" si="0"/>
        <v>#REF!</v>
      </c>
      <c r="G16" s="84" t="s">
        <v>30</v>
      </c>
      <c r="H16" s="85" t="s">
        <v>70</v>
      </c>
      <c r="I16" s="83">
        <v>0.12581288342159999</v>
      </c>
      <c r="J16" s="86">
        <f t="shared" si="3"/>
        <v>10065.030673727999</v>
      </c>
      <c r="K16" s="87">
        <f t="shared" si="1"/>
        <v>12078.036808473598</v>
      </c>
      <c r="L16" s="83"/>
    </row>
    <row r="17" spans="1:12" ht="30" x14ac:dyDescent="0.25">
      <c r="A17" s="84" t="s">
        <v>31</v>
      </c>
      <c r="B17" s="85" t="s">
        <v>151</v>
      </c>
      <c r="C17" s="83">
        <v>5.5E-2</v>
      </c>
      <c r="D17" s="86" t="e">
        <f t="shared" si="2"/>
        <v>#REF!</v>
      </c>
      <c r="E17" s="87" t="e">
        <f t="shared" si="0"/>
        <v>#REF!</v>
      </c>
      <c r="G17" s="84" t="s">
        <v>31</v>
      </c>
      <c r="H17" s="85" t="s">
        <v>151</v>
      </c>
      <c r="I17" s="83">
        <v>9.9373944151843405E-3</v>
      </c>
      <c r="J17" s="86">
        <f t="shared" si="3"/>
        <v>794.99155321474723</v>
      </c>
      <c r="K17" s="87">
        <f t="shared" si="1"/>
        <v>953.98986385769661</v>
      </c>
      <c r="L17" s="83"/>
    </row>
    <row r="18" spans="1:12" ht="30" x14ac:dyDescent="0.25">
      <c r="A18" s="84" t="s">
        <v>32</v>
      </c>
      <c r="B18" s="85" t="s">
        <v>152</v>
      </c>
      <c r="C18" s="83">
        <v>5.2699999999999997E-2</v>
      </c>
      <c r="D18" s="86" t="e">
        <f t="shared" si="2"/>
        <v>#REF!</v>
      </c>
      <c r="E18" s="87" t="e">
        <f t="shared" si="0"/>
        <v>#REF!</v>
      </c>
      <c r="G18" s="84" t="s">
        <v>32</v>
      </c>
      <c r="H18" s="85" t="s">
        <v>152</v>
      </c>
      <c r="I18" s="83">
        <v>9.9373944151843405E-3</v>
      </c>
      <c r="J18" s="86">
        <f t="shared" si="3"/>
        <v>794.99155321474723</v>
      </c>
      <c r="K18" s="87">
        <f t="shared" si="1"/>
        <v>953.98986385769661</v>
      </c>
      <c r="L18" s="83"/>
    </row>
    <row r="19" spans="1:12" x14ac:dyDescent="0.25">
      <c r="A19" s="84" t="s">
        <v>34</v>
      </c>
      <c r="B19" s="85" t="s">
        <v>153</v>
      </c>
      <c r="C19" s="88" t="s">
        <v>154</v>
      </c>
      <c r="D19" s="86" t="s">
        <v>155</v>
      </c>
      <c r="E19" s="87" t="s">
        <v>155</v>
      </c>
      <c r="G19" s="84" t="s">
        <v>34</v>
      </c>
      <c r="H19" s="85" t="s">
        <v>153</v>
      </c>
      <c r="I19" s="88">
        <v>0</v>
      </c>
      <c r="J19" s="86">
        <f t="shared" si="3"/>
        <v>0</v>
      </c>
      <c r="K19" s="87" t="s">
        <v>155</v>
      </c>
      <c r="L19" s="83"/>
    </row>
    <row r="20" spans="1:12" x14ac:dyDescent="0.25">
      <c r="A20" s="89" t="s">
        <v>35</v>
      </c>
      <c r="B20" s="90" t="s">
        <v>35</v>
      </c>
      <c r="C20" s="91">
        <v>0.1</v>
      </c>
      <c r="D20" s="92" t="e">
        <f>C20*$D$2</f>
        <v>#REF!</v>
      </c>
      <c r="E20" s="93" t="e">
        <f>D20*1.2</f>
        <v>#REF!</v>
      </c>
      <c r="G20" s="94" t="s">
        <v>156</v>
      </c>
      <c r="H20" s="95"/>
      <c r="I20" s="96">
        <f>SUM(I3:I19)</f>
        <v>1</v>
      </c>
      <c r="J20" s="97">
        <f>SUM(J3:J19)</f>
        <v>79999.999999999985</v>
      </c>
      <c r="K20" s="98">
        <f>SUM(K3:K19)</f>
        <v>96000</v>
      </c>
      <c r="L20" s="83"/>
    </row>
    <row r="21" spans="1:12" x14ac:dyDescent="0.25">
      <c r="A21" s="94" t="s">
        <v>156</v>
      </c>
      <c r="B21" s="95"/>
      <c r="C21" s="96">
        <f>SUM(C3:C19)</f>
        <v>0.90000000000000036</v>
      </c>
      <c r="D21" s="97" t="e">
        <f>SUM(D3:D20)</f>
        <v>#REF!</v>
      </c>
      <c r="E21" s="98" t="e">
        <f>SUM(E3:E20)</f>
        <v>#REF!</v>
      </c>
      <c r="G21" s="78" t="s">
        <v>35</v>
      </c>
      <c r="H21" s="99" t="s">
        <v>35</v>
      </c>
      <c r="I21" s="80">
        <v>0.1</v>
      </c>
      <c r="J21" s="81">
        <f>I21*(J27-J25)</f>
        <v>10000</v>
      </c>
      <c r="K21" s="82">
        <f>J21*1.2</f>
        <v>12000</v>
      </c>
      <c r="L21" s="83"/>
    </row>
    <row r="22" spans="1:12" x14ac:dyDescent="0.25">
      <c r="A22" s="78"/>
      <c r="B22" s="99"/>
      <c r="C22" s="80"/>
      <c r="D22" s="81"/>
      <c r="E22" s="82"/>
      <c r="G22" s="89" t="s">
        <v>38</v>
      </c>
      <c r="H22" s="100" t="s">
        <v>38</v>
      </c>
      <c r="I22" s="91">
        <v>0.1</v>
      </c>
      <c r="J22" s="92">
        <f>I22*(J27-J25)</f>
        <v>10000</v>
      </c>
      <c r="K22" s="93">
        <f>J22*1.2</f>
        <v>12000</v>
      </c>
      <c r="L22" s="83"/>
    </row>
    <row r="23" spans="1:12" x14ac:dyDescent="0.25">
      <c r="A23" s="89" t="s">
        <v>38</v>
      </c>
      <c r="B23" s="100" t="s">
        <v>38</v>
      </c>
      <c r="C23" s="91">
        <v>0.1</v>
      </c>
      <c r="D23" s="92">
        <f>C23*(D28-D26)</f>
        <v>10000</v>
      </c>
      <c r="E23" s="93">
        <f>D23*1.2</f>
        <v>12000</v>
      </c>
      <c r="G23" s="94" t="s">
        <v>157</v>
      </c>
      <c r="H23" s="95"/>
      <c r="I23" s="96">
        <f>SUM(I22:I22)</f>
        <v>0.1</v>
      </c>
      <c r="J23" s="101">
        <f>SUM(J21:J22)</f>
        <v>20000</v>
      </c>
      <c r="K23" s="102">
        <f>SUM(K22:K22)</f>
        <v>12000</v>
      </c>
    </row>
    <row r="24" spans="1:12" x14ac:dyDescent="0.25">
      <c r="A24" s="94" t="s">
        <v>157</v>
      </c>
      <c r="B24" s="95"/>
      <c r="C24" s="96">
        <f>SUM(C23:C23)</f>
        <v>0.1</v>
      </c>
      <c r="D24" s="101">
        <f>SUM(D23:D23)</f>
        <v>10000</v>
      </c>
      <c r="E24" s="102">
        <f>SUM(E23:E23)</f>
        <v>12000</v>
      </c>
      <c r="J24" s="103"/>
      <c r="K24" s="103"/>
    </row>
    <row r="25" spans="1:12" x14ac:dyDescent="0.25">
      <c r="D25" s="103"/>
      <c r="E25" s="103"/>
      <c r="G25" s="94" t="s">
        <v>4</v>
      </c>
      <c r="H25" s="95"/>
      <c r="I25" s="104">
        <f>J25/J27</f>
        <v>0.75</v>
      </c>
      <c r="J25" s="97">
        <v>300000</v>
      </c>
      <c r="K25" s="98">
        <f>J25*1.2</f>
        <v>360000</v>
      </c>
    </row>
    <row r="26" spans="1:12" x14ac:dyDescent="0.25">
      <c r="A26" s="94" t="s">
        <v>4</v>
      </c>
      <c r="B26" s="95"/>
      <c r="C26" s="104">
        <f>D26/D28</f>
        <v>0.75</v>
      </c>
      <c r="D26" s="97">
        <f>300000</f>
        <v>300000</v>
      </c>
      <c r="E26" s="98">
        <f>D26*1.2</f>
        <v>360000</v>
      </c>
      <c r="J26" s="103"/>
      <c r="K26" s="103"/>
    </row>
    <row r="27" spans="1:12" x14ac:dyDescent="0.25">
      <c r="D27" s="103"/>
      <c r="E27" s="103"/>
      <c r="G27" s="105" t="s">
        <v>158</v>
      </c>
      <c r="H27" s="106"/>
      <c r="I27" s="107" t="str">
        <f>I2</f>
        <v>Etudes Monographies vins</v>
      </c>
      <c r="J27" s="108">
        <v>400000</v>
      </c>
      <c r="K27" s="109">
        <f>J27*1.2</f>
        <v>480000</v>
      </c>
    </row>
    <row r="28" spans="1:12" x14ac:dyDescent="0.25">
      <c r="A28" s="105" t="s">
        <v>158</v>
      </c>
      <c r="B28" s="106"/>
      <c r="C28" s="107" t="str">
        <f>C2</f>
        <v>Etudes Monographies vins</v>
      </c>
      <c r="D28" s="108">
        <f>400000</f>
        <v>400000</v>
      </c>
      <c r="E28" s="109">
        <f>D28*1.2</f>
        <v>480000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topLeftCell="A19" workbookViewId="0">
      <selection activeCell="C5" sqref="C5"/>
    </sheetView>
  </sheetViews>
  <sheetFormatPr baseColWidth="10" defaultColWidth="9.140625" defaultRowHeight="15" x14ac:dyDescent="0.25"/>
  <cols>
    <col min="1" max="1" width="9.140625" style="1"/>
    <col min="2" max="2" width="9.140625" style="4"/>
    <col min="3" max="3" width="9.140625" style="7"/>
    <col min="4" max="4" width="9.140625" style="4"/>
    <col min="5" max="5" width="9.140625" style="9"/>
    <col min="6" max="7" width="9.140625" style="5"/>
    <col min="8" max="8" width="9.140625" style="9"/>
    <col min="9" max="9" width="9.140625" style="5"/>
    <col min="10" max="10" width="9.140625" style="9"/>
    <col min="11" max="12" width="9.140625" style="5"/>
    <col min="13" max="13" width="9.140625" style="4"/>
    <col min="14" max="15" width="9.140625" style="5"/>
    <col min="16" max="16" width="9.140625" style="4"/>
    <col min="17" max="18" width="9.140625" style="5"/>
    <col min="19" max="19" width="9.140625" style="4"/>
    <col min="20" max="21" width="9.140625" style="5"/>
    <col min="22" max="22" width="9.140625" style="9"/>
    <col min="23" max="23" width="9.140625" style="1"/>
    <col min="24" max="24" width="9.140625" style="3"/>
    <col min="25" max="25" width="9.140625" style="7"/>
    <col min="26" max="1024" width="9.140625" style="1"/>
  </cols>
  <sheetData>
    <row r="1" spans="1:1024" s="10" customFormat="1" ht="15" customHeight="1" x14ac:dyDescent="0.25">
      <c r="A1" s="739" t="s">
        <v>159</v>
      </c>
      <c r="B1" s="739"/>
      <c r="C1" s="739"/>
      <c r="D1" s="110" t="s">
        <v>0</v>
      </c>
      <c r="E1" s="14"/>
      <c r="F1" s="13"/>
      <c r="G1" s="13"/>
      <c r="H1" s="14"/>
      <c r="I1" s="13"/>
      <c r="J1" s="14"/>
      <c r="K1" s="13"/>
      <c r="L1" s="13"/>
      <c r="M1" s="12"/>
      <c r="N1" s="13"/>
      <c r="O1" s="13"/>
      <c r="P1" s="12"/>
      <c r="Q1" s="13"/>
      <c r="R1" s="13"/>
      <c r="S1" s="12"/>
      <c r="T1" s="13"/>
      <c r="U1" s="13"/>
      <c r="V1" s="14"/>
      <c r="X1" s="11"/>
      <c r="Y1" s="15"/>
    </row>
    <row r="2" spans="1:1024" ht="15.75" customHeight="1" x14ac:dyDescent="0.25">
      <c r="A2" s="16"/>
      <c r="B2" s="740" t="s">
        <v>160</v>
      </c>
      <c r="C2" s="740"/>
      <c r="D2" s="740"/>
      <c r="E2" s="740"/>
      <c r="F2" s="740"/>
      <c r="G2" s="13"/>
      <c r="H2" s="14"/>
      <c r="I2" s="13"/>
      <c r="J2" s="14"/>
      <c r="K2" s="13"/>
      <c r="L2" s="13"/>
      <c r="M2" s="12"/>
      <c r="N2" s="13"/>
      <c r="O2" s="13"/>
      <c r="P2" s="12"/>
      <c r="Q2" s="13"/>
      <c r="R2" s="13"/>
      <c r="S2" s="12"/>
      <c r="T2" s="13"/>
      <c r="U2" s="13"/>
      <c r="V2" s="14"/>
      <c r="W2"/>
      <c r="X2" s="11"/>
      <c r="Y2" s="1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11"/>
      <c r="B3" s="111"/>
      <c r="C3" s="111"/>
      <c r="D3" s="110"/>
      <c r="E3" s="14"/>
      <c r="F3" s="13"/>
      <c r="G3" s="13"/>
      <c r="H3" s="14"/>
      <c r="I3" s="13"/>
      <c r="J3" s="14"/>
      <c r="K3" s="13"/>
      <c r="L3" s="13"/>
      <c r="M3" s="12"/>
      <c r="N3" s="13"/>
      <c r="O3" s="13"/>
      <c r="P3" s="12"/>
      <c r="Q3" s="13"/>
      <c r="R3" s="13"/>
      <c r="S3" s="12"/>
      <c r="T3" s="13"/>
      <c r="U3" s="13"/>
      <c r="V3" s="14"/>
      <c r="W3"/>
      <c r="X3" s="11"/>
      <c r="Y3" s="15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x14ac:dyDescent="0.25">
      <c r="A4" s="73" t="s">
        <v>161</v>
      </c>
      <c r="B4" s="112" t="s">
        <v>63</v>
      </c>
      <c r="C4" s="113" t="s">
        <v>162</v>
      </c>
      <c r="D4"/>
      <c r="E4" s="73" t="s">
        <v>161</v>
      </c>
      <c r="F4" s="112" t="s">
        <v>63</v>
      </c>
      <c r="G4" s="113" t="s">
        <v>163</v>
      </c>
      <c r="H4" s="14"/>
      <c r="I4" s="13"/>
      <c r="J4" s="14"/>
      <c r="K4" s="13"/>
      <c r="L4" s="13"/>
      <c r="M4" s="12"/>
      <c r="N4" s="13"/>
      <c r="O4" s="13"/>
      <c r="P4" s="12"/>
      <c r="Q4" s="13"/>
      <c r="R4" s="13"/>
      <c r="S4" s="12"/>
      <c r="T4" s="13"/>
      <c r="U4" s="13"/>
      <c r="V4" s="14"/>
      <c r="W4"/>
      <c r="X4" s="11"/>
      <c r="Y4" s="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" x14ac:dyDescent="0.25">
      <c r="A5" s="114" t="s">
        <v>164</v>
      </c>
      <c r="B5" s="115" t="e">
        <f>C19+C26+C35</f>
        <v>#REF!</v>
      </c>
      <c r="C5" s="116" t="e">
        <f>B5*1.2</f>
        <v>#REF!</v>
      </c>
      <c r="D5"/>
      <c r="E5" s="114" t="s">
        <v>164</v>
      </c>
      <c r="F5" s="115">
        <f>G19+G26+G35</f>
        <v>837923.05</v>
      </c>
      <c r="G5" s="116">
        <f>F5*1.2</f>
        <v>1005507.66</v>
      </c>
      <c r="H5" s="14"/>
      <c r="I5" s="13"/>
      <c r="J5" s="14"/>
      <c r="K5" s="13"/>
      <c r="L5" s="13"/>
      <c r="M5" s="12"/>
      <c r="N5" s="13"/>
      <c r="O5" s="13"/>
      <c r="P5" s="12"/>
      <c r="Q5" s="13"/>
      <c r="R5" s="13"/>
      <c r="S5" s="12"/>
      <c r="T5" s="13"/>
      <c r="U5" s="13"/>
      <c r="V5" s="14"/>
      <c r="W5"/>
      <c r="X5" s="11"/>
      <c r="Y5" s="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11"/>
      <c r="B6" s="111"/>
      <c r="C6" s="111"/>
      <c r="D6" s="110"/>
      <c r="E6" s="14"/>
      <c r="F6" s="13"/>
      <c r="G6" s="13"/>
      <c r="H6" s="14"/>
      <c r="I6" s="13"/>
      <c r="J6" s="14"/>
      <c r="K6" s="13"/>
      <c r="L6" s="13"/>
      <c r="M6" s="12"/>
      <c r="N6" s="13"/>
      <c r="O6" s="13"/>
      <c r="P6" s="12"/>
      <c r="Q6" s="13"/>
      <c r="R6" s="13"/>
      <c r="S6" s="12"/>
      <c r="T6" s="13"/>
      <c r="U6" s="13"/>
      <c r="V6" s="14"/>
      <c r="W6"/>
      <c r="X6" s="11"/>
      <c r="Y6" s="1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17"/>
      <c r="B7" s="738" t="s">
        <v>165</v>
      </c>
      <c r="C7" s="738"/>
      <c r="D7" s="738"/>
      <c r="E7" s="117"/>
      <c r="F7" s="738" t="s">
        <v>166</v>
      </c>
      <c r="G7" s="738"/>
      <c r="H7" s="73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10" t="s">
        <v>167</v>
      </c>
      <c r="B8" s="118" t="s">
        <v>78</v>
      </c>
      <c r="C8" s="54" t="s">
        <v>11</v>
      </c>
      <c r="D8" s="118" t="s">
        <v>4</v>
      </c>
      <c r="E8" s="10" t="s">
        <v>167</v>
      </c>
      <c r="F8" s="118" t="s">
        <v>78</v>
      </c>
      <c r="G8" s="54" t="s">
        <v>11</v>
      </c>
      <c r="H8" s="118" t="s">
        <v>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19" t="s">
        <v>168</v>
      </c>
      <c r="B9" s="54" t="e">
        <f>#REF!</f>
        <v>#REF!</v>
      </c>
      <c r="C9" s="54" t="e">
        <f>#REF!</f>
        <v>#REF!</v>
      </c>
      <c r="D9" s="54" t="e">
        <f>#REF!</f>
        <v>#REF!</v>
      </c>
      <c r="E9" s="19" t="s">
        <v>168</v>
      </c>
      <c r="F9" s="54">
        <v>478994</v>
      </c>
      <c r="G9" s="54">
        <v>346790</v>
      </c>
      <c r="H9" s="54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x14ac:dyDescent="0.25">
      <c r="A10" s="19" t="s">
        <v>169</v>
      </c>
      <c r="B10" s="54" t="e">
        <f>#REF!</f>
        <v>#REF!</v>
      </c>
      <c r="C10" s="54" t="e">
        <f>#REF!</f>
        <v>#REF!</v>
      </c>
      <c r="D10" s="54" t="e">
        <f>#REF!</f>
        <v>#REF!</v>
      </c>
      <c r="E10" s="19" t="s">
        <v>169</v>
      </c>
      <c r="F10" s="54">
        <v>0</v>
      </c>
      <c r="G10" s="54">
        <v>0</v>
      </c>
      <c r="H10" s="5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05" x14ac:dyDescent="0.25">
      <c r="A11" s="19" t="s">
        <v>6</v>
      </c>
      <c r="B11" s="54" t="e">
        <f>#REF!</f>
        <v>#REF!</v>
      </c>
      <c r="C11" s="54" t="e">
        <f>#REF!</f>
        <v>#REF!</v>
      </c>
      <c r="D11" s="54" t="e">
        <f>#REF!</f>
        <v>#REF!</v>
      </c>
      <c r="E11" s="19" t="s">
        <v>6</v>
      </c>
      <c r="F11" s="54">
        <v>114111</v>
      </c>
      <c r="G11" s="54">
        <v>57055</v>
      </c>
      <c r="H11" s="54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0" x14ac:dyDescent="0.25">
      <c r="A12" s="19" t="s">
        <v>7</v>
      </c>
      <c r="B12" s="54" t="e">
        <f>#REF!</f>
        <v>#REF!</v>
      </c>
      <c r="C12" s="54" t="e">
        <f>#REF!</f>
        <v>#REF!</v>
      </c>
      <c r="D12" s="54" t="e">
        <f>#REF!</f>
        <v>#REF!</v>
      </c>
      <c r="E12" s="19" t="s">
        <v>7</v>
      </c>
      <c r="F12" s="54">
        <v>125910</v>
      </c>
      <c r="G12" s="54">
        <v>62955</v>
      </c>
      <c r="H12" s="54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x14ac:dyDescent="0.25">
      <c r="A13" s="19" t="s">
        <v>170</v>
      </c>
      <c r="B13" s="54" t="e">
        <f>#REF!</f>
        <v>#REF!</v>
      </c>
      <c r="C13" s="54" t="e">
        <f>#REF!</f>
        <v>#REF!</v>
      </c>
      <c r="D13" s="54" t="e">
        <f>#REF!</f>
        <v>#REF!</v>
      </c>
      <c r="E13" s="19" t="s">
        <v>170</v>
      </c>
      <c r="F13" s="54">
        <v>88782</v>
      </c>
      <c r="G13" s="54">
        <v>44391</v>
      </c>
      <c r="H13" s="54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5" x14ac:dyDescent="0.25">
      <c r="A14" s="19" t="s">
        <v>171</v>
      </c>
      <c r="B14" s="54" t="e">
        <f>#REF!</f>
        <v>#REF!</v>
      </c>
      <c r="C14" s="54" t="e">
        <f>#REF!</f>
        <v>#REF!</v>
      </c>
      <c r="D14" s="54" t="e">
        <f>#REF!</f>
        <v>#REF!</v>
      </c>
      <c r="E14" s="19" t="s">
        <v>171</v>
      </c>
      <c r="F14" s="54">
        <v>213623</v>
      </c>
      <c r="G14" s="54">
        <v>116000</v>
      </c>
      <c r="H14" s="54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5" x14ac:dyDescent="0.25">
      <c r="A15" s="19" t="s">
        <v>172</v>
      </c>
      <c r="B15" s="54" t="e">
        <f>#REF!</f>
        <v>#REF!</v>
      </c>
      <c r="C15" s="54" t="e">
        <f>#REF!</f>
        <v>#REF!</v>
      </c>
      <c r="D15" s="54" t="e">
        <f>#REF!</f>
        <v>#REF!</v>
      </c>
      <c r="E15" s="19" t="s">
        <v>172</v>
      </c>
      <c r="F15" s="54">
        <v>53158</v>
      </c>
      <c r="G15" s="54">
        <v>31895</v>
      </c>
      <c r="H15" s="54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0" x14ac:dyDescent="0.25">
      <c r="A16" s="19" t="s">
        <v>173</v>
      </c>
      <c r="B16" s="54" t="e">
        <f>#REF!</f>
        <v>#REF!</v>
      </c>
      <c r="C16" s="54" t="e">
        <f>#REF!</f>
        <v>#REF!</v>
      </c>
      <c r="D16" s="54" t="e">
        <f>#REF!</f>
        <v>#REF!</v>
      </c>
      <c r="E16" s="19" t="s">
        <v>173</v>
      </c>
      <c r="F16" s="54">
        <v>42799</v>
      </c>
      <c r="G16" s="54">
        <v>25679</v>
      </c>
      <c r="H16" s="54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0" x14ac:dyDescent="0.25">
      <c r="A17" s="119" t="s">
        <v>9</v>
      </c>
      <c r="B17" s="120">
        <v>50000</v>
      </c>
      <c r="C17" s="120">
        <v>30000</v>
      </c>
      <c r="D17" s="120">
        <v>20000</v>
      </c>
      <c r="E17" s="19"/>
      <c r="F17" s="19"/>
      <c r="G17" s="19"/>
      <c r="H17" s="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25">
      <c r="A18" s="121"/>
      <c r="B18" s="122"/>
      <c r="C18" s="123"/>
      <c r="D18" s="122"/>
      <c r="E18" s="124" t="s">
        <v>174</v>
      </c>
      <c r="F18" s="125">
        <v>141608</v>
      </c>
      <c r="G18" s="125">
        <v>35402</v>
      </c>
      <c r="H18" s="125">
        <v>106206</v>
      </c>
      <c r="I18" s="741" t="s">
        <v>175</v>
      </c>
      <c r="J18" s="74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0" customFormat="1" ht="45" x14ac:dyDescent="0.25">
      <c r="A19" s="17" t="s">
        <v>10</v>
      </c>
      <c r="B19" s="126" t="e">
        <f>SUM(B9:B18)</f>
        <v>#REF!</v>
      </c>
      <c r="C19" s="126" t="e">
        <f>SUM(C9:C18)</f>
        <v>#REF!</v>
      </c>
      <c r="D19" s="126" t="e">
        <f>SUM(D9:D18)</f>
        <v>#REF!</v>
      </c>
      <c r="E19" s="127" t="s">
        <v>10</v>
      </c>
      <c r="F19" s="128">
        <f>SUM(F9:F18)</f>
        <v>1258985</v>
      </c>
      <c r="G19" s="128">
        <f>SUM(G9:G18)</f>
        <v>720167</v>
      </c>
      <c r="H19" s="128">
        <f>SUM(H9:H18)</f>
        <v>505937</v>
      </c>
      <c r="I19" s="13"/>
      <c r="J19" s="14"/>
      <c r="K19" s="13"/>
      <c r="L19" s="13"/>
      <c r="M19" s="12"/>
      <c r="N19" s="13"/>
      <c r="O19" s="13"/>
      <c r="P19" s="12"/>
      <c r="Q19" s="13"/>
      <c r="R19" s="13"/>
      <c r="S19" s="12"/>
      <c r="T19" s="13"/>
      <c r="U19" s="13"/>
      <c r="V19" s="14"/>
      <c r="X19" s="11"/>
      <c r="Y19" s="15"/>
    </row>
    <row r="20" spans="1:1024" x14ac:dyDescent="0.25">
      <c r="A20" s="21"/>
      <c r="B20" s="59"/>
      <c r="C20" s="59"/>
      <c r="D20" s="59"/>
      <c r="E20" s="21"/>
      <c r="F20"/>
      <c r="G20" s="59"/>
      <c r="H20" s="59"/>
      <c r="I20" s="13"/>
      <c r="J20" s="14"/>
      <c r="K20" s="13"/>
      <c r="L20" s="13"/>
      <c r="M20" s="12"/>
      <c r="N20" s="13"/>
      <c r="O20" s="13"/>
      <c r="P20" s="12"/>
      <c r="Q20" s="13"/>
      <c r="R20" s="13"/>
      <c r="S20" s="12"/>
      <c r="T20" s="13"/>
      <c r="U20" s="13"/>
      <c r="V20" s="14"/>
      <c r="X20" s="11"/>
      <c r="Y20" s="15"/>
    </row>
    <row r="21" spans="1:1024" ht="15" customHeight="1" x14ac:dyDescent="0.25">
      <c r="A21" s="117"/>
      <c r="B21" s="737" t="s">
        <v>165</v>
      </c>
      <c r="C21" s="737"/>
      <c r="D21" s="737"/>
      <c r="E21" s="117"/>
      <c r="F21" s="737" t="s">
        <v>166</v>
      </c>
      <c r="G21" s="737"/>
      <c r="H21" s="737" t="s">
        <v>4</v>
      </c>
    </row>
    <row r="22" spans="1:1024" ht="60" x14ac:dyDescent="0.25">
      <c r="A22" s="52" t="s">
        <v>176</v>
      </c>
      <c r="B22" s="129" t="s">
        <v>78</v>
      </c>
      <c r="C22" s="54" t="s">
        <v>11</v>
      </c>
      <c r="D22" s="54" t="s">
        <v>4</v>
      </c>
      <c r="E22" s="52" t="s">
        <v>176</v>
      </c>
      <c r="F22" s="129" t="s">
        <v>78</v>
      </c>
      <c r="G22" s="54" t="s">
        <v>11</v>
      </c>
      <c r="H22" s="54" t="s">
        <v>4</v>
      </c>
    </row>
    <row r="23" spans="1:1024" ht="60" x14ac:dyDescent="0.25">
      <c r="A23" s="19" t="s">
        <v>177</v>
      </c>
      <c r="B23" s="54" t="e">
        <f>#REF!</f>
        <v>#REF!</v>
      </c>
      <c r="C23" s="54" t="e">
        <f>#REF!</f>
        <v>#REF!</v>
      </c>
      <c r="D23" s="69" t="s">
        <v>178</v>
      </c>
      <c r="E23" s="19" t="s">
        <v>177</v>
      </c>
      <c r="F23" s="54">
        <v>60000</v>
      </c>
      <c r="G23" s="54">
        <v>60000</v>
      </c>
      <c r="H23" s="69" t="s">
        <v>179</v>
      </c>
    </row>
    <row r="24" spans="1:1024" ht="60" x14ac:dyDescent="0.25">
      <c r="A24" s="19" t="s">
        <v>180</v>
      </c>
      <c r="B24" s="54" t="e">
        <f>#REF!</f>
        <v>#REF!</v>
      </c>
      <c r="C24" s="54" t="e">
        <f>#REF!</f>
        <v>#REF!</v>
      </c>
      <c r="D24" s="54">
        <v>0</v>
      </c>
      <c r="E24" s="19" t="s">
        <v>180</v>
      </c>
      <c r="F24" s="54">
        <v>30000</v>
      </c>
      <c r="G24" s="54">
        <v>30000</v>
      </c>
      <c r="H24" s="54">
        <v>0</v>
      </c>
    </row>
    <row r="25" spans="1:1024" x14ac:dyDescent="0.25">
      <c r="A25" s="130" t="s">
        <v>12</v>
      </c>
      <c r="B25" s="131" t="e">
        <f>#REF!</f>
        <v>#REF!</v>
      </c>
      <c r="C25" s="131" t="e">
        <f>#REF!</f>
        <v>#REF!</v>
      </c>
      <c r="D25" s="131">
        <v>0</v>
      </c>
      <c r="E25" s="130" t="s">
        <v>12</v>
      </c>
      <c r="F25" s="131">
        <v>14000</v>
      </c>
      <c r="G25" s="131">
        <v>14000</v>
      </c>
      <c r="H25" s="131">
        <v>0</v>
      </c>
    </row>
    <row r="26" spans="1:1024" ht="75" x14ac:dyDescent="0.25">
      <c r="A26" s="17" t="s">
        <v>181</v>
      </c>
      <c r="B26" s="126" t="e">
        <f>SUM(B23:B25)</f>
        <v>#REF!</v>
      </c>
      <c r="C26" s="126" t="e">
        <f>SUM(C23:C25)</f>
        <v>#REF!</v>
      </c>
      <c r="D26" s="126">
        <f>SUM(D23:D25)</f>
        <v>0</v>
      </c>
      <c r="E26" s="17" t="s">
        <v>181</v>
      </c>
      <c r="F26" s="126">
        <f>SUM(F23:F25)</f>
        <v>104000</v>
      </c>
      <c r="G26" s="126">
        <f>SUM(G23:G25)</f>
        <v>104000</v>
      </c>
      <c r="H26" s="126">
        <f>SUM(H23:H25)</f>
        <v>0</v>
      </c>
    </row>
    <row r="27" spans="1:1024" x14ac:dyDescent="0.25">
      <c r="A27"/>
      <c r="B27"/>
      <c r="C27" s="5"/>
      <c r="D27"/>
      <c r="E27" s="1"/>
      <c r="F27" s="4"/>
      <c r="G27"/>
      <c r="H27" s="4"/>
    </row>
    <row r="28" spans="1:1024" ht="15" customHeight="1" x14ac:dyDescent="0.25">
      <c r="A28" s="117"/>
      <c r="B28" s="738" t="s">
        <v>182</v>
      </c>
      <c r="C28" s="738"/>
      <c r="D28" s="738"/>
      <c r="E28" s="117"/>
      <c r="F28" s="738" t="s">
        <v>183</v>
      </c>
      <c r="G28" s="738"/>
      <c r="H28" s="738"/>
    </row>
    <row r="29" spans="1:1024" ht="30" x14ac:dyDescent="0.25">
      <c r="A29" s="52" t="s">
        <v>13</v>
      </c>
      <c r="B29" s="118" t="s">
        <v>184</v>
      </c>
      <c r="C29" s="54" t="s">
        <v>185</v>
      </c>
      <c r="D29" s="118" t="s">
        <v>186</v>
      </c>
      <c r="E29" s="26" t="s">
        <v>13</v>
      </c>
      <c r="F29" s="118"/>
      <c r="G29" s="54" t="s">
        <v>185</v>
      </c>
      <c r="H29" s="118" t="s">
        <v>186</v>
      </c>
    </row>
    <row r="30" spans="1:1024" ht="60" x14ac:dyDescent="0.25">
      <c r="A30" s="1" t="s">
        <v>187</v>
      </c>
      <c r="B30" s="132">
        <f>MONOPOLES!D2</f>
        <v>185</v>
      </c>
      <c r="C30" s="54" t="e">
        <f>#REF!</f>
        <v>#REF!</v>
      </c>
      <c r="D30" s="54" t="e">
        <f>C30*1.2</f>
        <v>#REF!</v>
      </c>
      <c r="E30" s="19" t="s">
        <v>187</v>
      </c>
      <c r="F30" s="132">
        <v>185</v>
      </c>
      <c r="G30" s="54">
        <v>136.01</v>
      </c>
      <c r="H30" s="133">
        <f t="shared" ref="H30:H35" si="0">G30*1.2</f>
        <v>163.21199999999999</v>
      </c>
    </row>
    <row r="31" spans="1:1024" ht="45" x14ac:dyDescent="0.25">
      <c r="A31" s="19" t="s">
        <v>188</v>
      </c>
      <c r="B31" s="132">
        <f>MONOPOLES!F2</f>
        <v>10204.030000000001</v>
      </c>
      <c r="C31" s="54" t="e">
        <f>#REF!</f>
        <v>#REF!</v>
      </c>
      <c r="D31" s="54" t="e">
        <f>C31*1.2</f>
        <v>#REF!</v>
      </c>
      <c r="E31" s="134" t="s">
        <v>188</v>
      </c>
      <c r="F31" s="132">
        <v>10204.030000000001</v>
      </c>
      <c r="G31" s="54">
        <v>8498</v>
      </c>
      <c r="H31" s="133">
        <f t="shared" si="0"/>
        <v>10197.6</v>
      </c>
    </row>
    <row r="32" spans="1:1024" ht="30" x14ac:dyDescent="0.25">
      <c r="A32" s="19" t="s">
        <v>189</v>
      </c>
      <c r="B32" s="132">
        <f>MONOPOLES!H2</f>
        <v>1500</v>
      </c>
      <c r="C32" s="54" t="e">
        <f>#REF!</f>
        <v>#REF!</v>
      </c>
      <c r="D32" s="54" t="e">
        <f>C32*1.2</f>
        <v>#REF!</v>
      </c>
      <c r="E32" s="19" t="s">
        <v>189</v>
      </c>
      <c r="F32" s="132">
        <v>1500</v>
      </c>
      <c r="G32" s="54">
        <v>1137.01</v>
      </c>
      <c r="H32" s="133">
        <f t="shared" si="0"/>
        <v>1364.412</v>
      </c>
    </row>
    <row r="33" spans="1:8" ht="45" x14ac:dyDescent="0.25">
      <c r="A33" s="19" t="s">
        <v>190</v>
      </c>
      <c r="B33" s="129">
        <f>MONOPOLES!J2</f>
        <v>4000</v>
      </c>
      <c r="C33" s="54" t="e">
        <f>#REF!</f>
        <v>#REF!</v>
      </c>
      <c r="D33" s="54" t="e">
        <f>C33*1.2</f>
        <v>#REF!</v>
      </c>
      <c r="E33" s="19" t="s">
        <v>190</v>
      </c>
      <c r="F33" s="129">
        <v>4000</v>
      </c>
      <c r="G33" s="54">
        <v>485.03</v>
      </c>
      <c r="H33" s="133">
        <f t="shared" si="0"/>
        <v>582.03599999999994</v>
      </c>
    </row>
    <row r="34" spans="1:8" ht="60" x14ac:dyDescent="0.25">
      <c r="A34" s="130" t="s">
        <v>191</v>
      </c>
      <c r="B34"/>
      <c r="C34" s="131" t="e">
        <f>#REF!</f>
        <v>#REF!</v>
      </c>
      <c r="D34" s="131" t="e">
        <f>C34*1.2</f>
        <v>#REF!</v>
      </c>
      <c r="E34" s="130" t="s">
        <v>191</v>
      </c>
      <c r="F34" s="4"/>
      <c r="G34" s="131">
        <v>3500</v>
      </c>
      <c r="H34" s="135">
        <f t="shared" si="0"/>
        <v>4200</v>
      </c>
    </row>
    <row r="35" spans="1:8" ht="60" x14ac:dyDescent="0.25">
      <c r="A35" s="136" t="s">
        <v>192</v>
      </c>
      <c r="B35" s="137"/>
      <c r="C35" s="126" t="e">
        <f>SUM(C30:C34)</f>
        <v>#REF!</v>
      </c>
      <c r="D35" s="126" t="e">
        <f>SUM(D30:D34)</f>
        <v>#REF!</v>
      </c>
      <c r="E35" s="138" t="s">
        <v>192</v>
      </c>
      <c r="F35" s="139"/>
      <c r="G35" s="126">
        <v>13756.05</v>
      </c>
      <c r="H35" s="140">
        <f t="shared" si="0"/>
        <v>16507.259999999998</v>
      </c>
    </row>
    <row r="36" spans="1:8" ht="15" customHeight="1" x14ac:dyDescent="0.25">
      <c r="A36"/>
      <c r="B36"/>
      <c r="C36"/>
      <c r="D36" s="141" t="s">
        <v>193</v>
      </c>
      <c r="E36" s="1"/>
      <c r="F36" s="4"/>
      <c r="G36" s="7"/>
      <c r="H36" s="141"/>
    </row>
    <row r="37" spans="1:8" ht="15" customHeight="1" x14ac:dyDescent="0.25">
      <c r="A37" s="117"/>
      <c r="B37" s="737" t="s">
        <v>165</v>
      </c>
      <c r="C37" s="737"/>
      <c r="D37" s="737"/>
      <c r="E37" s="117"/>
      <c r="F37" s="737" t="s">
        <v>194</v>
      </c>
      <c r="G37" s="737"/>
      <c r="H37" s="737"/>
    </row>
    <row r="38" spans="1:8" ht="60" x14ac:dyDescent="0.25">
      <c r="A38" s="52" t="s">
        <v>195</v>
      </c>
      <c r="B38" s="129" t="s">
        <v>78</v>
      </c>
      <c r="C38" s="54" t="s">
        <v>11</v>
      </c>
      <c r="D38" s="54" t="s">
        <v>4</v>
      </c>
      <c r="E38" s="52" t="s">
        <v>195</v>
      </c>
      <c r="F38" s="129" t="s">
        <v>78</v>
      </c>
      <c r="G38" s="54" t="s">
        <v>11</v>
      </c>
      <c r="H38" s="54" t="s">
        <v>4</v>
      </c>
    </row>
    <row r="39" spans="1:8" ht="30" x14ac:dyDescent="0.25">
      <c r="A39" s="19" t="s">
        <v>196</v>
      </c>
      <c r="B39" s="54" t="e">
        <f>#REF!</f>
        <v>#REF!</v>
      </c>
      <c r="C39" s="54" t="e">
        <f>#REF!</f>
        <v>#REF!</v>
      </c>
      <c r="D39" s="69" t="e">
        <f>#REF!</f>
        <v>#REF!</v>
      </c>
      <c r="E39" s="19" t="s">
        <v>196</v>
      </c>
      <c r="F39" s="54">
        <v>22000</v>
      </c>
      <c r="G39" s="54">
        <v>22000</v>
      </c>
      <c r="H39" s="69" t="e">
        <f>#REF!</f>
        <v>#REF!</v>
      </c>
    </row>
    <row r="40" spans="1:8" ht="90" x14ac:dyDescent="0.25">
      <c r="A40" s="17" t="s">
        <v>197</v>
      </c>
      <c r="B40" s="126" t="e">
        <f>SUM(B39:B39)</f>
        <v>#REF!</v>
      </c>
      <c r="C40" s="126" t="e">
        <f>SUM(C39:C39)</f>
        <v>#REF!</v>
      </c>
      <c r="D40" s="126" t="e">
        <f>SUM(D39:D39)</f>
        <v>#REF!</v>
      </c>
      <c r="E40" s="17" t="s">
        <v>197</v>
      </c>
      <c r="F40" s="126">
        <f>SUM(F39:F39)</f>
        <v>22000</v>
      </c>
      <c r="G40" s="126">
        <f>SUM(G39:G39)</f>
        <v>22000</v>
      </c>
      <c r="H40" s="126" t="e">
        <f>SUM(H39:H39)</f>
        <v>#REF!</v>
      </c>
    </row>
  </sheetData>
  <mergeCells count="11">
    <mergeCell ref="A1:C1"/>
    <mergeCell ref="B2:F2"/>
    <mergeCell ref="B7:D7"/>
    <mergeCell ref="F7:H7"/>
    <mergeCell ref="I18:J18"/>
    <mergeCell ref="B21:D21"/>
    <mergeCell ref="F21:H21"/>
    <mergeCell ref="B28:D28"/>
    <mergeCell ref="F28:H28"/>
    <mergeCell ref="B37:D37"/>
    <mergeCell ref="F37:H3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94"/>
  <sheetViews>
    <sheetView topLeftCell="A16" zoomScaleNormal="100" workbookViewId="0">
      <selection activeCell="D26" sqref="D26"/>
    </sheetView>
  </sheetViews>
  <sheetFormatPr baseColWidth="10" defaultColWidth="9.140625" defaultRowHeight="15" x14ac:dyDescent="0.25"/>
  <cols>
    <col min="1" max="1" width="15.5703125" style="334" customWidth="1"/>
    <col min="2" max="2" width="9.140625" style="424"/>
    <col min="3" max="3" width="22.5703125" style="424" customWidth="1"/>
    <col min="4" max="4" width="11.85546875" style="424" customWidth="1"/>
    <col min="5" max="5" width="17" style="424" customWidth="1"/>
    <col min="6" max="6" width="15.7109375" style="424" customWidth="1"/>
    <col min="7" max="7" width="17" style="334" customWidth="1"/>
    <col min="8" max="11" width="9.140625" style="334"/>
    <col min="12" max="12" width="8.7109375" style="334" customWidth="1"/>
    <col min="13" max="16384" width="9.140625" style="334"/>
  </cols>
  <sheetData>
    <row r="1" spans="1:21" ht="15" customHeight="1" x14ac:dyDescent="0.25">
      <c r="A1" s="751" t="s">
        <v>52</v>
      </c>
      <c r="B1" s="762" t="s">
        <v>203</v>
      </c>
      <c r="C1" s="763"/>
      <c r="D1" s="763"/>
      <c r="E1" s="763"/>
      <c r="F1" s="763"/>
      <c r="G1" s="764"/>
      <c r="J1" s="335"/>
      <c r="K1" s="335"/>
      <c r="L1" s="756"/>
      <c r="M1" s="757"/>
      <c r="N1" s="757"/>
      <c r="O1" s="757"/>
      <c r="P1" s="757"/>
      <c r="Q1" s="757"/>
      <c r="R1" s="335"/>
      <c r="S1" s="335"/>
      <c r="T1" s="335"/>
      <c r="U1" s="335"/>
    </row>
    <row r="2" spans="1:21" x14ac:dyDescent="0.25">
      <c r="A2" s="751"/>
      <c r="B2" s="759">
        <v>2020</v>
      </c>
      <c r="C2" s="760"/>
      <c r="D2" s="760"/>
      <c r="E2" s="760"/>
      <c r="F2" s="760"/>
      <c r="G2" s="761"/>
      <c r="J2" s="335"/>
      <c r="K2" s="335"/>
      <c r="L2" s="756"/>
      <c r="M2" s="757"/>
      <c r="N2" s="757"/>
      <c r="O2" s="757"/>
      <c r="P2" s="757"/>
      <c r="Q2" s="757"/>
      <c r="R2" s="335"/>
      <c r="S2" s="335"/>
      <c r="T2" s="335"/>
      <c r="U2" s="335"/>
    </row>
    <row r="3" spans="1:21" ht="75" x14ac:dyDescent="0.25">
      <c r="A3" s="751"/>
      <c r="B3" s="336" t="s">
        <v>204</v>
      </c>
      <c r="C3" s="337" t="s">
        <v>158</v>
      </c>
      <c r="D3" s="338" t="s">
        <v>205</v>
      </c>
      <c r="E3" s="336" t="s">
        <v>206</v>
      </c>
      <c r="F3" s="336" t="s">
        <v>448</v>
      </c>
      <c r="G3" s="692" t="s">
        <v>447</v>
      </c>
      <c r="J3" s="758"/>
      <c r="K3" s="335"/>
      <c r="L3" s="756"/>
      <c r="M3" s="341"/>
      <c r="N3" s="342"/>
      <c r="O3" s="341"/>
      <c r="P3" s="341"/>
      <c r="Q3" s="343"/>
      <c r="R3" s="335"/>
      <c r="S3" s="335"/>
      <c r="T3" s="335"/>
      <c r="U3" s="335"/>
    </row>
    <row r="4" spans="1:21" x14ac:dyDescent="0.25">
      <c r="A4" s="344" t="s">
        <v>17</v>
      </c>
      <c r="B4" s="345">
        <v>7.7627517923603798E-2</v>
      </c>
      <c r="C4" s="346">
        <f>D4+E4+F4+G4</f>
        <v>33881.163202432559</v>
      </c>
      <c r="D4" s="347">
        <f>B4*($D$26-$D$22-$D$25)</f>
        <v>29640.82160833872</v>
      </c>
      <c r="E4" s="347">
        <f>E44</f>
        <v>3518.4873214964432</v>
      </c>
      <c r="F4" s="347">
        <f>($D$32-$F$22)*B4</f>
        <v>721.85427259739788</v>
      </c>
      <c r="G4" s="347">
        <v>0</v>
      </c>
      <c r="J4" s="758"/>
      <c r="K4" s="335"/>
      <c r="L4" s="335"/>
      <c r="M4" s="348"/>
      <c r="N4" s="349"/>
      <c r="O4" s="349"/>
      <c r="P4" s="349"/>
      <c r="Q4" s="343"/>
      <c r="R4" s="348"/>
      <c r="S4" s="348"/>
      <c r="T4" s="350"/>
      <c r="U4" s="335"/>
    </row>
    <row r="5" spans="1:21" x14ac:dyDescent="0.25">
      <c r="A5" s="344" t="s">
        <v>18</v>
      </c>
      <c r="B5" s="345">
        <v>8.7918319308961795E-2</v>
      </c>
      <c r="C5" s="346">
        <f t="shared" ref="C5:C25" si="0">D5+E5+F5+G5</f>
        <v>34475.556459525447</v>
      </c>
      <c r="D5" s="347">
        <f t="shared" ref="D5:D20" si="1">B5*($D$26-$D$22-$D$25)</f>
        <v>33570.198924903583</v>
      </c>
      <c r="E5" s="347">
        <f>F44</f>
        <v>87.809632404843342</v>
      </c>
      <c r="F5" s="347">
        <f t="shared" ref="F5:F20" si="2">($D$32-$F$22)*B5</f>
        <v>817.54790221701967</v>
      </c>
      <c r="G5" s="347">
        <v>0</v>
      </c>
      <c r="J5" s="758"/>
      <c r="K5" s="335"/>
      <c r="L5" s="335"/>
      <c r="M5" s="348"/>
      <c r="N5" s="349"/>
      <c r="O5" s="349"/>
      <c r="P5" s="349"/>
      <c r="Q5" s="343"/>
      <c r="R5" s="348"/>
      <c r="S5" s="348"/>
      <c r="T5" s="350"/>
      <c r="U5" s="335"/>
    </row>
    <row r="6" spans="1:21" x14ac:dyDescent="0.25">
      <c r="A6" s="344" t="s">
        <v>19</v>
      </c>
      <c r="B6" s="345">
        <v>3.1261161503782497E-2</v>
      </c>
      <c r="C6" s="346">
        <f t="shared" si="0"/>
        <v>12315.078258139631</v>
      </c>
      <c r="D6" s="347">
        <f t="shared" si="1"/>
        <v>11936.572702414518</v>
      </c>
      <c r="E6" s="347">
        <f>G44</f>
        <v>87.809632404843342</v>
      </c>
      <c r="F6" s="347">
        <f t="shared" si="2"/>
        <v>290.69592332026843</v>
      </c>
      <c r="G6" s="347">
        <v>0</v>
      </c>
      <c r="J6" s="758"/>
      <c r="K6" s="335"/>
      <c r="L6" s="335"/>
      <c r="M6" s="348"/>
      <c r="N6" s="349"/>
      <c r="O6" s="349"/>
      <c r="P6" s="349"/>
      <c r="Q6" s="343"/>
      <c r="R6" s="348"/>
      <c r="S6" s="348"/>
      <c r="T6" s="350"/>
      <c r="U6" s="335"/>
    </row>
    <row r="7" spans="1:21" x14ac:dyDescent="0.25">
      <c r="A7" s="344" t="s">
        <v>20</v>
      </c>
      <c r="B7" s="345">
        <v>0.23381500798886601</v>
      </c>
      <c r="C7" s="346">
        <f t="shared" si="0"/>
        <v>95898.438669074938</v>
      </c>
      <c r="D7" s="347">
        <f t="shared" si="1"/>
        <v>89278.507500018342</v>
      </c>
      <c r="E7" s="347">
        <f>H44</f>
        <v>4445.6975077374154</v>
      </c>
      <c r="F7" s="347">
        <f t="shared" si="2"/>
        <v>2174.2336613191837</v>
      </c>
      <c r="G7" s="347">
        <v>0</v>
      </c>
      <c r="J7" s="758"/>
      <c r="K7" s="335"/>
      <c r="L7" s="335"/>
      <c r="M7" s="348"/>
      <c r="N7" s="349"/>
      <c r="O7" s="349"/>
      <c r="P7" s="349"/>
      <c r="Q7" s="351"/>
      <c r="R7" s="348"/>
      <c r="S7" s="348"/>
      <c r="T7" s="350"/>
      <c r="U7" s="335"/>
    </row>
    <row r="8" spans="1:21" x14ac:dyDescent="0.25">
      <c r="A8" s="344" t="s">
        <v>21</v>
      </c>
      <c r="B8" s="345">
        <v>7.7627517923603798E-2</v>
      </c>
      <c r="C8" s="346">
        <f t="shared" si="0"/>
        <v>30450.485513340958</v>
      </c>
      <c r="D8" s="347">
        <f t="shared" si="1"/>
        <v>29640.82160833872</v>
      </c>
      <c r="E8" s="347">
        <f>I44</f>
        <v>87.809632404843342</v>
      </c>
      <c r="F8" s="347">
        <f t="shared" si="2"/>
        <v>721.85427259739788</v>
      </c>
      <c r="G8" s="347">
        <v>0</v>
      </c>
      <c r="J8" s="335"/>
      <c r="K8" s="335"/>
      <c r="L8" s="335"/>
      <c r="M8" s="348"/>
      <c r="N8" s="349"/>
      <c r="O8" s="349"/>
      <c r="P8" s="349"/>
      <c r="Q8" s="343"/>
      <c r="R8" s="348"/>
      <c r="S8" s="348"/>
      <c r="T8" s="350"/>
      <c r="U8" s="335"/>
    </row>
    <row r="9" spans="1:21" x14ac:dyDescent="0.25">
      <c r="A9" s="344" t="s">
        <v>22</v>
      </c>
      <c r="B9" s="352">
        <v>4.1427660930528996E-3</v>
      </c>
      <c r="C9" s="346">
        <f t="shared" si="0"/>
        <v>1708.1817310939641</v>
      </c>
      <c r="D9" s="347">
        <f t="shared" si="1"/>
        <v>1581.8487311432859</v>
      </c>
      <c r="E9" s="347">
        <f>J44</f>
        <v>87.809632404843342</v>
      </c>
      <c r="F9" s="347">
        <f t="shared" si="2"/>
        <v>38.523367545834766</v>
      </c>
      <c r="G9" s="347">
        <v>0</v>
      </c>
      <c r="J9" s="335"/>
      <c r="K9" s="335"/>
      <c r="L9" s="335"/>
      <c r="M9" s="353"/>
      <c r="N9" s="349"/>
      <c r="O9" s="349"/>
      <c r="P9" s="349"/>
      <c r="Q9" s="343"/>
      <c r="R9" s="353"/>
      <c r="S9" s="353"/>
      <c r="T9" s="350"/>
      <c r="U9" s="335"/>
    </row>
    <row r="10" spans="1:21" x14ac:dyDescent="0.25">
      <c r="A10" s="344" t="s">
        <v>23</v>
      </c>
      <c r="B10" s="345">
        <v>0</v>
      </c>
      <c r="C10" s="346">
        <f t="shared" si="0"/>
        <v>0</v>
      </c>
      <c r="D10" s="347">
        <f t="shared" si="1"/>
        <v>0</v>
      </c>
      <c r="E10" s="347"/>
      <c r="F10" s="347">
        <f t="shared" si="2"/>
        <v>0</v>
      </c>
      <c r="G10" s="347">
        <v>0</v>
      </c>
      <c r="J10" s="335"/>
      <c r="K10" s="335"/>
      <c r="L10" s="335"/>
      <c r="M10" s="348"/>
      <c r="N10" s="349"/>
      <c r="O10" s="349"/>
      <c r="P10" s="349"/>
      <c r="Q10" s="343"/>
      <c r="R10" s="348"/>
      <c r="S10" s="348"/>
      <c r="T10" s="350"/>
      <c r="U10" s="335"/>
    </row>
    <row r="11" spans="1:21" x14ac:dyDescent="0.25">
      <c r="A11" s="344" t="s">
        <v>24</v>
      </c>
      <c r="B11" s="345">
        <v>0</v>
      </c>
      <c r="C11" s="346">
        <f t="shared" si="0"/>
        <v>0</v>
      </c>
      <c r="D11" s="347">
        <f t="shared" si="1"/>
        <v>0</v>
      </c>
      <c r="E11" s="347"/>
      <c r="F11" s="347">
        <f t="shared" si="2"/>
        <v>0</v>
      </c>
      <c r="G11" s="347">
        <v>0</v>
      </c>
      <c r="J11" s="335"/>
      <c r="K11" s="335"/>
      <c r="L11" s="335"/>
      <c r="M11" s="348"/>
      <c r="N11" s="349"/>
      <c r="O11" s="349"/>
      <c r="P11" s="349"/>
      <c r="Q11" s="343"/>
      <c r="R11" s="348"/>
      <c r="S11" s="354"/>
      <c r="T11" s="350"/>
      <c r="U11" s="335"/>
    </row>
    <row r="12" spans="1:21" x14ac:dyDescent="0.25">
      <c r="A12" s="344" t="s">
        <v>25</v>
      </c>
      <c r="B12" s="345">
        <v>0</v>
      </c>
      <c r="C12" s="346">
        <f t="shared" si="0"/>
        <v>0</v>
      </c>
      <c r="D12" s="347">
        <f t="shared" si="1"/>
        <v>0</v>
      </c>
      <c r="E12" s="347"/>
      <c r="F12" s="347">
        <f t="shared" si="2"/>
        <v>0</v>
      </c>
      <c r="G12" s="347">
        <v>0</v>
      </c>
      <c r="J12" s="335"/>
      <c r="K12" s="335"/>
      <c r="L12" s="335"/>
      <c r="M12" s="348"/>
      <c r="N12" s="349"/>
      <c r="O12" s="349"/>
      <c r="P12" s="349"/>
      <c r="Q12" s="343"/>
      <c r="R12" s="348"/>
      <c r="S12" s="348"/>
      <c r="T12" s="350"/>
      <c r="U12" s="335"/>
    </row>
    <row r="13" spans="1:21" x14ac:dyDescent="0.25">
      <c r="A13" s="344" t="s">
        <v>26</v>
      </c>
      <c r="B13" s="345">
        <v>7.8827594953486693E-2</v>
      </c>
      <c r="C13" s="346">
        <f t="shared" si="0"/>
        <v>30919.875117248564</v>
      </c>
      <c r="D13" s="347">
        <f t="shared" si="1"/>
        <v>30099.051758039383</v>
      </c>
      <c r="E13" s="347">
        <f>G44</f>
        <v>87.809632404843342</v>
      </c>
      <c r="F13" s="347">
        <f t="shared" si="2"/>
        <v>733.01372680433917</v>
      </c>
      <c r="G13" s="347">
        <v>0</v>
      </c>
      <c r="J13" s="335"/>
      <c r="K13" s="335"/>
      <c r="L13" s="335"/>
      <c r="M13" s="348"/>
      <c r="N13" s="349"/>
      <c r="O13" s="349"/>
      <c r="P13" s="349"/>
      <c r="Q13" s="343"/>
      <c r="R13" s="348"/>
      <c r="S13" s="348"/>
      <c r="T13" s="350"/>
      <c r="U13" s="335"/>
    </row>
    <row r="14" spans="1:21" x14ac:dyDescent="0.25">
      <c r="A14" s="344" t="s">
        <v>27</v>
      </c>
      <c r="B14" s="345">
        <v>0.115706018423435</v>
      </c>
      <c r="C14" s="346">
        <f t="shared" si="0"/>
        <v>45344.239682400766</v>
      </c>
      <c r="D14" s="347">
        <f t="shared" si="1"/>
        <v>44180.485771494219</v>
      </c>
      <c r="E14" s="347">
        <f>K44</f>
        <v>87.809632404843342</v>
      </c>
      <c r="F14" s="347">
        <f t="shared" si="2"/>
        <v>1075.9442785017015</v>
      </c>
      <c r="G14" s="347">
        <v>0</v>
      </c>
      <c r="J14" s="335"/>
      <c r="K14" s="335"/>
      <c r="L14" s="335"/>
      <c r="M14" s="348"/>
      <c r="N14" s="349"/>
      <c r="O14" s="349"/>
      <c r="P14" s="349"/>
      <c r="Q14" s="343"/>
      <c r="R14" s="348"/>
      <c r="S14" s="348"/>
      <c r="T14" s="350"/>
      <c r="U14" s="335"/>
    </row>
    <row r="15" spans="1:21" x14ac:dyDescent="0.25">
      <c r="A15" s="344" t="s">
        <v>28</v>
      </c>
      <c r="B15" s="345">
        <v>0</v>
      </c>
      <c r="C15" s="346">
        <f t="shared" si="0"/>
        <v>0</v>
      </c>
      <c r="D15" s="347">
        <f t="shared" si="1"/>
        <v>0</v>
      </c>
      <c r="E15" s="347"/>
      <c r="F15" s="347">
        <f t="shared" si="2"/>
        <v>0</v>
      </c>
      <c r="G15" s="347">
        <v>0</v>
      </c>
      <c r="J15" s="335"/>
      <c r="K15" s="335"/>
      <c r="L15" s="335"/>
      <c r="M15" s="348"/>
      <c r="N15" s="349"/>
      <c r="O15" s="349"/>
      <c r="P15" s="349"/>
      <c r="Q15" s="343"/>
      <c r="R15" s="348"/>
      <c r="S15" s="348"/>
      <c r="T15" s="350"/>
      <c r="U15" s="335"/>
    </row>
    <row r="16" spans="1:21" x14ac:dyDescent="0.25">
      <c r="A16" s="344" t="s">
        <v>29</v>
      </c>
      <c r="B16" s="345">
        <v>5.1803325123281702E-2</v>
      </c>
      <c r="C16" s="346">
        <f t="shared" si="0"/>
        <v>20349.794201084416</v>
      </c>
      <c r="D16" s="347">
        <f t="shared" si="1"/>
        <v>19780.268128746582</v>
      </c>
      <c r="E16" s="347">
        <f>N44</f>
        <v>87.809632404843342</v>
      </c>
      <c r="F16" s="347">
        <f t="shared" si="2"/>
        <v>481.71643993299296</v>
      </c>
      <c r="G16" s="347">
        <v>0</v>
      </c>
      <c r="J16" s="335"/>
      <c r="K16" s="335"/>
      <c r="L16" s="335"/>
      <c r="M16" s="348"/>
      <c r="N16" s="349"/>
      <c r="O16" s="349"/>
      <c r="P16" s="349"/>
      <c r="Q16" s="343"/>
      <c r="R16" s="348"/>
      <c r="S16" s="348"/>
      <c r="T16" s="350"/>
      <c r="U16" s="335"/>
    </row>
    <row r="17" spans="1:1024" x14ac:dyDescent="0.25">
      <c r="A17" s="344" t="s">
        <v>30</v>
      </c>
      <c r="B17" s="345">
        <v>0.114587636778216</v>
      </c>
      <c r="C17" s="346">
        <f t="shared" si="0"/>
        <v>44906.803830872042</v>
      </c>
      <c r="D17" s="347">
        <f t="shared" si="1"/>
        <v>43753.449693017501</v>
      </c>
      <c r="E17" s="347">
        <f>N44</f>
        <v>87.809632404843342</v>
      </c>
      <c r="F17" s="347">
        <f t="shared" si="2"/>
        <v>1065.5445054496977</v>
      </c>
      <c r="G17" s="347">
        <v>0</v>
      </c>
      <c r="J17" s="335"/>
      <c r="K17" s="335"/>
      <c r="L17" s="335"/>
      <c r="M17" s="348"/>
      <c r="N17" s="349"/>
      <c r="O17" s="349"/>
      <c r="P17" s="349"/>
      <c r="Q17" s="343"/>
      <c r="R17" s="348"/>
      <c r="S17" s="348"/>
      <c r="T17" s="350"/>
      <c r="U17" s="335"/>
    </row>
    <row r="18" spans="1:1024" x14ac:dyDescent="0.25">
      <c r="A18" s="344" t="s">
        <v>31</v>
      </c>
      <c r="B18" s="345">
        <v>5.5237348361374103E-2</v>
      </c>
      <c r="C18" s="346">
        <f t="shared" si="0"/>
        <v>22620.163840760637</v>
      </c>
      <c r="D18" s="347">
        <f t="shared" si="1"/>
        <v>21091.494777772761</v>
      </c>
      <c r="E18" s="347">
        <f>O44</f>
        <v>1015.0198186458163</v>
      </c>
      <c r="F18" s="347">
        <f t="shared" si="2"/>
        <v>513.64924434205955</v>
      </c>
      <c r="G18" s="347">
        <v>0</v>
      </c>
      <c r="J18" s="335"/>
      <c r="K18" s="335"/>
      <c r="L18" s="335"/>
      <c r="M18" s="348"/>
      <c r="N18" s="349"/>
      <c r="O18" s="349"/>
      <c r="P18" s="349"/>
      <c r="Q18" s="343"/>
      <c r="R18" s="348"/>
      <c r="S18" s="348"/>
      <c r="T18" s="350"/>
      <c r="U18" s="335"/>
    </row>
    <row r="19" spans="1:1024" x14ac:dyDescent="0.25">
      <c r="A19" s="344" t="s">
        <v>32</v>
      </c>
      <c r="B19" s="345">
        <v>5.2524498174103401E-2</v>
      </c>
      <c r="C19" s="346">
        <f t="shared" si="0"/>
        <v>20631.868704841119</v>
      </c>
      <c r="D19" s="347">
        <f t="shared" si="1"/>
        <v>20055.636481618363</v>
      </c>
      <c r="E19" s="347">
        <f>M44</f>
        <v>87.809632404843342</v>
      </c>
      <c r="F19" s="347">
        <f t="shared" si="2"/>
        <v>488.42259081791582</v>
      </c>
      <c r="G19" s="347">
        <v>0</v>
      </c>
      <c r="J19" s="335"/>
      <c r="K19" s="335"/>
      <c r="L19" s="335"/>
      <c r="M19" s="348"/>
      <c r="N19" s="349"/>
      <c r="O19" s="349"/>
      <c r="P19" s="349"/>
      <c r="Q19" s="343"/>
      <c r="R19" s="348"/>
      <c r="S19" s="348"/>
      <c r="T19" s="350"/>
      <c r="U19" s="335"/>
    </row>
    <row r="20" spans="1:1024" x14ac:dyDescent="0.25">
      <c r="A20" s="344" t="s">
        <v>33</v>
      </c>
      <c r="B20" s="345">
        <v>1.8921287444232E-2</v>
      </c>
      <c r="C20" s="346">
        <f t="shared" si="0"/>
        <v>7488.5475831484264</v>
      </c>
      <c r="D20" s="347">
        <f t="shared" si="1"/>
        <v>7224.789877817896</v>
      </c>
      <c r="E20" s="347">
        <f>Q44</f>
        <v>87.809632404843342</v>
      </c>
      <c r="F20" s="347">
        <f t="shared" si="2"/>
        <v>175.94807292568768</v>
      </c>
      <c r="G20" s="347">
        <v>0</v>
      </c>
      <c r="J20" s="335"/>
      <c r="K20" s="335"/>
      <c r="L20" s="335"/>
      <c r="M20" s="348"/>
      <c r="N20" s="349"/>
      <c r="O20" s="349"/>
      <c r="P20" s="349"/>
      <c r="Q20" s="343"/>
      <c r="R20" s="348"/>
      <c r="S20" s="348"/>
      <c r="T20" s="350"/>
      <c r="U20" s="335"/>
    </row>
    <row r="21" spans="1:1024" x14ac:dyDescent="0.25">
      <c r="A21" s="344" t="s">
        <v>34</v>
      </c>
      <c r="B21" s="345">
        <v>0</v>
      </c>
      <c r="C21" s="346">
        <f t="shared" si="0"/>
        <v>0</v>
      </c>
      <c r="D21" s="347"/>
      <c r="E21" s="347"/>
      <c r="F21" s="347">
        <f t="shared" ref="F21" si="3">$D$32*B21</f>
        <v>0</v>
      </c>
      <c r="G21" s="347">
        <v>0</v>
      </c>
      <c r="J21" s="335"/>
      <c r="K21" s="335"/>
      <c r="L21" s="355"/>
      <c r="M21" s="354"/>
      <c r="N21" s="356"/>
      <c r="O21" s="356"/>
      <c r="P21" s="356"/>
      <c r="Q21" s="343"/>
      <c r="R21" s="357"/>
      <c r="S21" s="357"/>
      <c r="T21" s="350"/>
      <c r="U21" s="335"/>
    </row>
    <row r="22" spans="1:1024" x14ac:dyDescent="0.25">
      <c r="A22" s="358" t="s">
        <v>35</v>
      </c>
      <c r="B22" s="359">
        <v>0</v>
      </c>
      <c r="C22" s="346">
        <f t="shared" si="0"/>
        <v>43598.169621847861</v>
      </c>
      <c r="D22" s="347">
        <f>16468*D37</f>
        <v>17156.51387305207</v>
      </c>
      <c r="E22" s="360">
        <f>R44</f>
        <v>25322.512026931636</v>
      </c>
      <c r="F22" s="347">
        <f>10410*'ANNEXE 1 Grille'!B20</f>
        <v>1119.143721864152</v>
      </c>
      <c r="G22" s="347">
        <v>0</v>
      </c>
      <c r="I22" s="361"/>
      <c r="J22" s="447"/>
      <c r="K22" s="335"/>
      <c r="L22" s="355"/>
      <c r="M22" s="354"/>
      <c r="N22" s="356"/>
      <c r="O22" s="356"/>
      <c r="P22" s="356"/>
      <c r="Q22" s="343"/>
      <c r="R22" s="335"/>
      <c r="S22" s="335"/>
      <c r="T22" s="335"/>
      <c r="U22" s="335"/>
    </row>
    <row r="23" spans="1:1024" x14ac:dyDescent="0.25">
      <c r="A23" s="358" t="s">
        <v>36</v>
      </c>
      <c r="B23" s="359">
        <v>0</v>
      </c>
      <c r="C23" s="346">
        <f t="shared" si="0"/>
        <v>0</v>
      </c>
      <c r="D23" s="360"/>
      <c r="E23" s="360"/>
      <c r="F23" s="347">
        <f t="shared" ref="F23:F24" si="4">15000*B23</f>
        <v>0</v>
      </c>
      <c r="G23" s="347">
        <v>0</v>
      </c>
      <c r="J23" s="335"/>
      <c r="K23" s="335"/>
      <c r="L23" s="355"/>
      <c r="M23" s="354"/>
      <c r="N23" s="356"/>
      <c r="O23" s="356"/>
      <c r="P23" s="356"/>
      <c r="Q23" s="343"/>
      <c r="R23" s="335"/>
      <c r="S23" s="335"/>
      <c r="T23" s="335"/>
      <c r="U23" s="335"/>
    </row>
    <row r="24" spans="1:1024" x14ac:dyDescent="0.25">
      <c r="A24" s="358" t="s">
        <v>38</v>
      </c>
      <c r="B24" s="359">
        <v>0</v>
      </c>
      <c r="C24" s="346">
        <f t="shared" si="0"/>
        <v>0</v>
      </c>
      <c r="D24" s="360"/>
      <c r="E24" s="360"/>
      <c r="F24" s="347">
        <f t="shared" si="4"/>
        <v>0</v>
      </c>
      <c r="G24" s="347">
        <v>0</v>
      </c>
      <c r="J24" s="335"/>
      <c r="K24" s="335"/>
      <c r="L24" s="355"/>
      <c r="M24" s="354"/>
      <c r="N24" s="356"/>
      <c r="O24" s="356"/>
      <c r="P24" s="356"/>
      <c r="Q24" s="343"/>
      <c r="R24" s="335"/>
      <c r="S24" s="335"/>
      <c r="T24" s="335"/>
      <c r="U24" s="335"/>
    </row>
    <row r="25" spans="1:1024" x14ac:dyDescent="0.25">
      <c r="A25" s="358" t="s">
        <v>4</v>
      </c>
      <c r="B25" s="362">
        <v>0.24</v>
      </c>
      <c r="C25" s="346">
        <f t="shared" si="0"/>
        <v>125996.98782212085</v>
      </c>
      <c r="D25" s="363">
        <f>B25*D26</f>
        <v>125996.98782212085</v>
      </c>
      <c r="E25" s="363"/>
      <c r="F25" s="363"/>
      <c r="G25" s="347">
        <v>0</v>
      </c>
      <c r="J25" s="335"/>
      <c r="K25" s="335"/>
      <c r="L25" s="355"/>
      <c r="M25" s="354"/>
      <c r="N25" s="356"/>
      <c r="O25" s="356"/>
      <c r="P25" s="356"/>
      <c r="Q25" s="343"/>
      <c r="R25" s="335"/>
      <c r="S25" s="335"/>
      <c r="T25" s="335"/>
      <c r="U25" s="335"/>
    </row>
    <row r="26" spans="1:1024" ht="30" customHeight="1" x14ac:dyDescent="0.25">
      <c r="A26" s="364" t="s">
        <v>49</v>
      </c>
      <c r="B26" s="365"/>
      <c r="C26" s="366">
        <f>SUM(C4:C25)</f>
        <v>570585.35423793225</v>
      </c>
      <c r="D26" s="367">
        <f>D33</f>
        <v>524987.44925883692</v>
      </c>
      <c r="E26" s="368">
        <f>SUM(E4:E25)</f>
        <v>35179.81299885975</v>
      </c>
      <c r="F26" s="368">
        <f>D32</f>
        <v>10418.091980235651</v>
      </c>
      <c r="G26" s="368">
        <f>D31</f>
        <v>0</v>
      </c>
      <c r="J26" s="335"/>
      <c r="K26" s="335"/>
      <c r="L26" s="335"/>
      <c r="M26" s="348"/>
      <c r="N26" s="349"/>
      <c r="O26" s="349"/>
      <c r="P26" s="349"/>
      <c r="Q26" s="343"/>
      <c r="R26" s="335"/>
      <c r="S26" s="335"/>
      <c r="T26" s="335"/>
      <c r="U26" s="335"/>
    </row>
    <row r="27" spans="1:1024" s="373" customFormat="1" x14ac:dyDescent="0.25">
      <c r="A27" s="369" t="s">
        <v>39</v>
      </c>
      <c r="B27" s="370"/>
      <c r="C27" s="371">
        <f>D31+D32+D33+D40</f>
        <v>570585.35423793236</v>
      </c>
      <c r="D27" s="372">
        <f>SUM(D4:D25)</f>
        <v>524987.4492588368</v>
      </c>
      <c r="E27" s="372">
        <f>SUM(E4:E25)</f>
        <v>35179.81299885975</v>
      </c>
      <c r="F27" s="372">
        <f>SUM(F4:F25)</f>
        <v>10418.091980235649</v>
      </c>
      <c r="G27" s="694">
        <f>SUM(G4:G25)</f>
        <v>0</v>
      </c>
      <c r="J27" s="374"/>
      <c r="K27" s="374"/>
      <c r="L27" s="375"/>
      <c r="M27" s="376"/>
      <c r="N27" s="349"/>
      <c r="O27" s="377"/>
      <c r="P27" s="377"/>
      <c r="Q27" s="374"/>
      <c r="R27" s="374"/>
      <c r="S27" s="374"/>
      <c r="T27" s="374"/>
      <c r="U27" s="374"/>
      <c r="AMH27" s="334"/>
      <c r="AMI27" s="334"/>
      <c r="AMJ27" s="334"/>
    </row>
    <row r="28" spans="1:1024" x14ac:dyDescent="0.25">
      <c r="A28" s="375"/>
      <c r="B28" s="376"/>
      <c r="C28" s="376"/>
      <c r="D28" s="378"/>
      <c r="E28" s="378"/>
      <c r="F28" s="334"/>
      <c r="J28" s="335"/>
      <c r="K28" s="335"/>
      <c r="L28" s="379"/>
      <c r="M28" s="370"/>
      <c r="N28" s="371"/>
      <c r="O28" s="372"/>
      <c r="P28" s="372"/>
      <c r="Q28" s="335"/>
      <c r="R28" s="335"/>
      <c r="S28" s="335"/>
      <c r="T28" s="335"/>
      <c r="U28" s="335"/>
    </row>
    <row r="29" spans="1:1024" ht="30" x14ac:dyDescent="0.25">
      <c r="A29" s="380"/>
      <c r="B29" s="381" t="s">
        <v>207</v>
      </c>
      <c r="C29" s="382">
        <f>SUBTOTAL(3,D4:D24)</f>
        <v>18</v>
      </c>
      <c r="D29" s="334"/>
      <c r="E29" s="382"/>
      <c r="F29" s="378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</row>
    <row r="30" spans="1:1024" x14ac:dyDescent="0.25">
      <c r="A30" s="383"/>
      <c r="B30" s="752" t="s">
        <v>208</v>
      </c>
      <c r="C30" s="752"/>
      <c r="D30" s="752"/>
      <c r="E30" s="384"/>
      <c r="F30" s="382"/>
      <c r="G30" s="463"/>
    </row>
    <row r="31" spans="1:1024" x14ac:dyDescent="0.25">
      <c r="A31" s="383"/>
      <c r="B31" s="765" t="s">
        <v>450</v>
      </c>
      <c r="C31" s="766"/>
      <c r="D31" s="368">
        <v>0</v>
      </c>
      <c r="E31" s="384"/>
      <c r="F31" s="382"/>
    </row>
    <row r="32" spans="1:1024" x14ac:dyDescent="0.25">
      <c r="A32" s="383"/>
      <c r="B32" s="765" t="s">
        <v>451</v>
      </c>
      <c r="C32" s="766"/>
      <c r="D32" s="368">
        <f>10000*D37</f>
        <v>10418.091980235651</v>
      </c>
      <c r="E32" s="384"/>
      <c r="F32" s="382"/>
    </row>
    <row r="33" spans="1:102" ht="14.85" customHeight="1" x14ac:dyDescent="0.25">
      <c r="A33" s="383"/>
      <c r="B33" s="753" t="s">
        <v>441</v>
      </c>
      <c r="C33" s="753"/>
      <c r="D33" s="368">
        <f>D35*D37</f>
        <v>524987.44925883692</v>
      </c>
      <c r="E33" s="384"/>
      <c r="F33" s="385"/>
    </row>
    <row r="34" spans="1:102" ht="14.85" customHeight="1" x14ac:dyDescent="0.25">
      <c r="A34" s="383"/>
      <c r="B34" s="753" t="s">
        <v>435</v>
      </c>
      <c r="C34" s="753"/>
      <c r="D34" s="368">
        <f>D36*D37</f>
        <v>629984.93911060423</v>
      </c>
      <c r="E34" s="384"/>
      <c r="F34" s="334"/>
    </row>
    <row r="35" spans="1:102" ht="14.85" customHeight="1" x14ac:dyDescent="0.25">
      <c r="A35" s="383"/>
      <c r="B35" s="753" t="s">
        <v>434</v>
      </c>
      <c r="C35" s="753"/>
      <c r="D35" s="368">
        <v>503919</v>
      </c>
      <c r="E35" s="384"/>
      <c r="F35" s="385" t="s">
        <v>449</v>
      </c>
    </row>
    <row r="36" spans="1:102" ht="14.85" customHeight="1" x14ac:dyDescent="0.25">
      <c r="A36" s="383"/>
      <c r="B36" s="753" t="s">
        <v>211</v>
      </c>
      <c r="C36" s="753"/>
      <c r="D36" s="368">
        <f>D35*1.2</f>
        <v>604702.79999999993</v>
      </c>
      <c r="E36" s="386"/>
      <c r="F36" s="334"/>
    </row>
    <row r="37" spans="1:102" ht="14.85" customHeight="1" x14ac:dyDescent="0.25">
      <c r="B37" s="753" t="s">
        <v>437</v>
      </c>
      <c r="C37" s="753"/>
      <c r="D37" s="387">
        <f>2741/2631</f>
        <v>1.0418091980235651</v>
      </c>
      <c r="E37" s="334"/>
      <c r="F37" s="334"/>
    </row>
    <row r="38" spans="1:102" ht="14.85" customHeight="1" x14ac:dyDescent="0.25">
      <c r="B38" s="334"/>
      <c r="C38" s="334"/>
      <c r="D38" s="334"/>
      <c r="E38" s="334"/>
      <c r="F38" s="334"/>
    </row>
    <row r="39" spans="1:102" x14ac:dyDescent="0.25">
      <c r="B39" s="767" t="s">
        <v>212</v>
      </c>
      <c r="C39" s="767"/>
      <c r="D39" s="767"/>
      <c r="E39" s="388"/>
      <c r="F39" s="334"/>
    </row>
    <row r="40" spans="1:102" x14ac:dyDescent="0.25">
      <c r="B40" s="768" t="s">
        <v>213</v>
      </c>
      <c r="C40" s="768"/>
      <c r="D40" s="368">
        <f>D44</f>
        <v>35179.81299885975</v>
      </c>
      <c r="E40" s="388"/>
      <c r="F40" s="388"/>
    </row>
    <row r="41" spans="1:102" x14ac:dyDescent="0.25">
      <c r="B41" s="334"/>
      <c r="C41" s="334"/>
      <c r="D41" s="388"/>
      <c r="E41" s="388"/>
      <c r="F41" s="388"/>
    </row>
    <row r="42" spans="1:102" x14ac:dyDescent="0.25">
      <c r="A42" s="389" t="s">
        <v>214</v>
      </c>
      <c r="B42" s="390"/>
      <c r="C42" s="390"/>
      <c r="D42" s="390"/>
      <c r="E42" s="390"/>
      <c r="F42" s="391"/>
      <c r="G42" s="392"/>
      <c r="H42" s="392"/>
      <c r="I42" s="392"/>
      <c r="J42" s="392"/>
      <c r="K42" s="392"/>
      <c r="L42" s="392"/>
      <c r="M42" s="393"/>
      <c r="N42" s="392"/>
      <c r="O42" s="392"/>
      <c r="P42" s="392"/>
      <c r="Q42" s="392"/>
      <c r="R42" s="392"/>
    </row>
    <row r="43" spans="1:102" s="398" customFormat="1" x14ac:dyDescent="0.2">
      <c r="A43" s="769">
        <v>2020</v>
      </c>
      <c r="B43" s="769"/>
      <c r="C43" s="769"/>
      <c r="D43" s="394" t="s">
        <v>78</v>
      </c>
      <c r="E43" s="395" t="s">
        <v>17</v>
      </c>
      <c r="F43" s="395" t="s">
        <v>411</v>
      </c>
      <c r="G43" s="395" t="s">
        <v>19</v>
      </c>
      <c r="H43" s="395" t="s">
        <v>20</v>
      </c>
      <c r="I43" s="395" t="s">
        <v>21</v>
      </c>
      <c r="J43" s="395" t="s">
        <v>22</v>
      </c>
      <c r="K43" s="395" t="s">
        <v>26</v>
      </c>
      <c r="L43" s="395" t="s">
        <v>412</v>
      </c>
      <c r="M43" s="396" t="s">
        <v>29</v>
      </c>
      <c r="N43" s="395" t="s">
        <v>413</v>
      </c>
      <c r="O43" s="395" t="s">
        <v>31</v>
      </c>
      <c r="P43" s="395" t="s">
        <v>32</v>
      </c>
      <c r="Q43" s="397" t="s">
        <v>414</v>
      </c>
      <c r="R43" s="397" t="s">
        <v>260</v>
      </c>
    </row>
    <row r="44" spans="1:102" x14ac:dyDescent="0.25">
      <c r="A44" s="747" t="s">
        <v>215</v>
      </c>
      <c r="B44" s="747"/>
      <c r="C44" s="747"/>
      <c r="D44" s="399">
        <f>SUM(E44:R44)</f>
        <v>35179.81299885975</v>
      </c>
      <c r="E44" s="400">
        <f>E45+E46</f>
        <v>3518.4873214964432</v>
      </c>
      <c r="F44" s="400">
        <f t="shared" ref="F44:R44" si="5">F45+F46</f>
        <v>87.809632404843342</v>
      </c>
      <c r="G44" s="400">
        <f t="shared" si="5"/>
        <v>87.809632404843342</v>
      </c>
      <c r="H44" s="400">
        <f t="shared" si="5"/>
        <v>4445.6975077374154</v>
      </c>
      <c r="I44" s="400">
        <f t="shared" si="5"/>
        <v>87.809632404843342</v>
      </c>
      <c r="J44" s="400">
        <f t="shared" si="5"/>
        <v>87.809632404843342</v>
      </c>
      <c r="K44" s="400">
        <f t="shared" si="5"/>
        <v>87.809632404843342</v>
      </c>
      <c r="L44" s="400">
        <f t="shared" si="5"/>
        <v>87.809632404843342</v>
      </c>
      <c r="M44" s="400">
        <f t="shared" si="5"/>
        <v>87.809632404843342</v>
      </c>
      <c r="N44" s="400">
        <f t="shared" si="5"/>
        <v>87.809632404843342</v>
      </c>
      <c r="O44" s="400">
        <f t="shared" si="5"/>
        <v>1015.0198186458163</v>
      </c>
      <c r="P44" s="400">
        <f t="shared" si="5"/>
        <v>87.809632404843342</v>
      </c>
      <c r="Q44" s="400">
        <f t="shared" si="5"/>
        <v>87.809632404843342</v>
      </c>
      <c r="R44" s="400">
        <f t="shared" si="5"/>
        <v>25322.512026931636</v>
      </c>
    </row>
    <row r="45" spans="1:102" s="402" customFormat="1" x14ac:dyDescent="0.2">
      <c r="A45" s="747" t="s">
        <v>216</v>
      </c>
      <c r="B45" s="747"/>
      <c r="C45" s="747"/>
      <c r="D45" s="399">
        <f t="shared" ref="D45:D46" si="6">SUM(E45:R45)</f>
        <v>33950.478145191941</v>
      </c>
      <c r="E45" s="401">
        <f>D78+D87</f>
        <v>3430.6776890915999</v>
      </c>
      <c r="F45" s="401">
        <f t="shared" ref="F45:R45" si="7">E78+E87</f>
        <v>0</v>
      </c>
      <c r="G45" s="401">
        <f t="shared" si="7"/>
        <v>0</v>
      </c>
      <c r="H45" s="401">
        <f t="shared" si="7"/>
        <v>4357.8878753325725</v>
      </c>
      <c r="I45" s="401">
        <f t="shared" si="7"/>
        <v>0</v>
      </c>
      <c r="J45" s="401">
        <f t="shared" si="7"/>
        <v>0</v>
      </c>
      <c r="K45" s="401">
        <f t="shared" si="7"/>
        <v>0</v>
      </c>
      <c r="L45" s="401">
        <f t="shared" si="7"/>
        <v>0</v>
      </c>
      <c r="M45" s="401">
        <f t="shared" si="7"/>
        <v>0</v>
      </c>
      <c r="N45" s="401">
        <f t="shared" si="7"/>
        <v>0</v>
      </c>
      <c r="O45" s="401">
        <f t="shared" si="7"/>
        <v>927.21018624097292</v>
      </c>
      <c r="P45" s="401">
        <f t="shared" si="7"/>
        <v>0</v>
      </c>
      <c r="Q45" s="401">
        <f t="shared" si="7"/>
        <v>0</v>
      </c>
      <c r="R45" s="401">
        <f t="shared" si="7"/>
        <v>25234.702394526794</v>
      </c>
    </row>
    <row r="46" spans="1:102" s="403" customFormat="1" x14ac:dyDescent="0.25">
      <c r="A46" s="749" t="s">
        <v>415</v>
      </c>
      <c r="B46" s="749"/>
      <c r="C46" s="749"/>
      <c r="D46" s="399">
        <f t="shared" si="6"/>
        <v>1229.3348536678068</v>
      </c>
      <c r="E46" s="401">
        <f>D68</f>
        <v>87.809632404843342</v>
      </c>
      <c r="F46" s="401">
        <f t="shared" ref="F46:R46" si="8">E68</f>
        <v>87.809632404843342</v>
      </c>
      <c r="G46" s="401">
        <f t="shared" si="8"/>
        <v>87.809632404843342</v>
      </c>
      <c r="H46" s="401">
        <f t="shared" si="8"/>
        <v>87.809632404843342</v>
      </c>
      <c r="I46" s="401">
        <f t="shared" si="8"/>
        <v>87.809632404843342</v>
      </c>
      <c r="J46" s="401">
        <f t="shared" si="8"/>
        <v>87.809632404843342</v>
      </c>
      <c r="K46" s="401">
        <f t="shared" si="8"/>
        <v>87.809632404843342</v>
      </c>
      <c r="L46" s="401">
        <f t="shared" si="8"/>
        <v>87.809632404843342</v>
      </c>
      <c r="M46" s="401">
        <f t="shared" si="8"/>
        <v>87.809632404843342</v>
      </c>
      <c r="N46" s="401">
        <f t="shared" si="8"/>
        <v>87.809632404843342</v>
      </c>
      <c r="O46" s="401">
        <f t="shared" si="8"/>
        <v>87.809632404843342</v>
      </c>
      <c r="P46" s="401">
        <f t="shared" si="8"/>
        <v>87.809632404843342</v>
      </c>
      <c r="Q46" s="401">
        <f t="shared" si="8"/>
        <v>87.809632404843342</v>
      </c>
      <c r="R46" s="401">
        <f t="shared" si="8"/>
        <v>87.809632404843342</v>
      </c>
    </row>
    <row r="47" spans="1:102" s="408" customFormat="1" x14ac:dyDescent="0.25">
      <c r="A47" s="404"/>
      <c r="B47" s="405"/>
      <c r="C47" s="406"/>
      <c r="D47" s="406"/>
      <c r="E47" s="406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</row>
    <row r="48" spans="1:102" hidden="1" x14ac:dyDescent="0.25">
      <c r="A48" s="409" t="s">
        <v>217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</row>
    <row r="49" spans="1:15" s="409" customFormat="1" ht="25.5" hidden="1" x14ac:dyDescent="0.2">
      <c r="A49" s="410" t="s">
        <v>218</v>
      </c>
      <c r="B49" s="411" t="s">
        <v>219</v>
      </c>
      <c r="C49" s="411" t="s">
        <v>220</v>
      </c>
      <c r="D49" s="412" t="s">
        <v>78</v>
      </c>
      <c r="E49" s="413" t="s">
        <v>221</v>
      </c>
      <c r="F49" s="413" t="s">
        <v>20</v>
      </c>
      <c r="G49" s="413" t="s">
        <v>26</v>
      </c>
      <c r="H49" s="413" t="s">
        <v>21</v>
      </c>
      <c r="I49" s="414" t="s">
        <v>35</v>
      </c>
      <c r="J49" s="413" t="s">
        <v>17</v>
      </c>
      <c r="K49" s="413" t="s">
        <v>222</v>
      </c>
      <c r="L49" s="413" t="s">
        <v>32</v>
      </c>
      <c r="M49" s="413" t="s">
        <v>29</v>
      </c>
      <c r="N49" s="413" t="s">
        <v>31</v>
      </c>
      <c r="O49" s="413" t="s">
        <v>19</v>
      </c>
    </row>
    <row r="50" spans="1:15" s="419" customFormat="1" ht="15" hidden="1" customHeight="1" x14ac:dyDescent="0.2">
      <c r="A50" s="415">
        <v>2017</v>
      </c>
      <c r="B50" s="416">
        <f>(2570/2458)</f>
        <v>1.0455655004068349</v>
      </c>
      <c r="C50" s="417">
        <f>C53*B50</f>
        <v>375.35801464605373</v>
      </c>
      <c r="D50" s="418">
        <f>SUM(E51:Z51)</f>
        <v>7741.4221500000003</v>
      </c>
      <c r="E50" s="418">
        <f>6*$C$50/3+E54*$C$50</f>
        <v>2627.5061025223763</v>
      </c>
      <c r="F50" s="418">
        <f>6*$C$50/3+F54*$C$50</f>
        <v>2627.5061025223763</v>
      </c>
      <c r="G50" s="418">
        <f>6*$C$43/3+G54*$C$43</f>
        <v>0</v>
      </c>
      <c r="H50" s="418">
        <v>0</v>
      </c>
      <c r="I50" s="418">
        <v>0</v>
      </c>
      <c r="J50" s="418">
        <f>6*$C$43/3+J54*$C$43</f>
        <v>0</v>
      </c>
      <c r="K50" s="418">
        <v>0</v>
      </c>
      <c r="L50" s="418">
        <v>0</v>
      </c>
      <c r="M50" s="418">
        <v>0</v>
      </c>
      <c r="N50" s="418">
        <v>0</v>
      </c>
      <c r="O50" s="418">
        <v>0</v>
      </c>
    </row>
    <row r="51" spans="1:15" ht="15" hidden="1" customHeight="1" x14ac:dyDescent="0.25">
      <c r="A51" s="415">
        <v>2016</v>
      </c>
      <c r="B51" s="416">
        <v>1.02685</v>
      </c>
      <c r="C51" s="418">
        <f>B51*C53</f>
        <v>368.63915000000003</v>
      </c>
      <c r="D51" s="418">
        <f>SUM(E52:Z52)</f>
        <v>7508.844000000001</v>
      </c>
      <c r="E51" s="418">
        <f>6*$C$51/3+E54*$C$51</f>
        <v>2580.4740500000003</v>
      </c>
      <c r="F51" s="418">
        <f>6*$C$51/3+F54*$C$51</f>
        <v>2580.4740500000003</v>
      </c>
      <c r="G51" s="418">
        <f>6*$C$51/3+G54*$C$51</f>
        <v>1474.5566000000001</v>
      </c>
      <c r="H51" s="418">
        <v>0</v>
      </c>
      <c r="I51" s="418">
        <v>0</v>
      </c>
      <c r="J51" s="418">
        <f>$J$54*C51</f>
        <v>1105.9174500000001</v>
      </c>
      <c r="K51" s="418">
        <v>0</v>
      </c>
      <c r="L51" s="418">
        <v>0</v>
      </c>
      <c r="M51" s="418">
        <v>0</v>
      </c>
      <c r="N51" s="418">
        <v>0</v>
      </c>
      <c r="O51" s="418">
        <v>0</v>
      </c>
    </row>
    <row r="52" spans="1:15" s="335" customFormat="1" hidden="1" x14ac:dyDescent="0.25">
      <c r="A52" s="415">
        <v>2015</v>
      </c>
      <c r="B52" s="420">
        <v>0.996</v>
      </c>
      <c r="C52" s="418">
        <f>B52*C53</f>
        <v>357.56400000000002</v>
      </c>
      <c r="D52" s="418">
        <f>SUM(E53:Z53)</f>
        <v>7539</v>
      </c>
      <c r="E52" s="418">
        <f>6*$C$52/3+E54*$C$52</f>
        <v>2502.9480000000003</v>
      </c>
      <c r="F52" s="418">
        <f>6*$C$52/3+F54*$C$52</f>
        <v>2502.9480000000003</v>
      </c>
      <c r="G52" s="418">
        <f>6*$C$52/3+G54*$C$52</f>
        <v>1430.2560000000001</v>
      </c>
      <c r="H52" s="418">
        <v>0</v>
      </c>
      <c r="I52" s="418">
        <v>0</v>
      </c>
      <c r="J52" s="418">
        <f>$J$54*C52</f>
        <v>1072.692</v>
      </c>
      <c r="K52" s="418">
        <v>0</v>
      </c>
      <c r="L52" s="418">
        <v>0</v>
      </c>
      <c r="M52" s="418">
        <v>0</v>
      </c>
      <c r="N52" s="418">
        <v>0</v>
      </c>
      <c r="O52" s="418">
        <v>0</v>
      </c>
    </row>
    <row r="53" spans="1:15" s="335" customFormat="1" hidden="1" x14ac:dyDescent="0.25">
      <c r="A53" s="415">
        <v>2014</v>
      </c>
      <c r="B53" s="420" t="s">
        <v>155</v>
      </c>
      <c r="C53" s="418">
        <v>359</v>
      </c>
      <c r="D53" s="418">
        <f>SUM(E54:Z54)</f>
        <v>15</v>
      </c>
      <c r="E53" s="418">
        <f>6*$C$53/3+E54*$C$53</f>
        <v>2513</v>
      </c>
      <c r="F53" s="418">
        <f>6*$C$53/3+F54*$C$53</f>
        <v>2513</v>
      </c>
      <c r="G53" s="418">
        <f>6*$C$53/3+G54*$C$53</f>
        <v>1436</v>
      </c>
      <c r="H53" s="418">
        <v>0</v>
      </c>
      <c r="I53" s="418">
        <v>0</v>
      </c>
      <c r="J53" s="418">
        <f>$J$54*C53</f>
        <v>1077</v>
      </c>
      <c r="K53" s="418">
        <v>0</v>
      </c>
      <c r="L53" s="418">
        <v>0</v>
      </c>
      <c r="M53" s="418">
        <v>0</v>
      </c>
      <c r="N53" s="418">
        <v>0</v>
      </c>
      <c r="O53" s="418">
        <v>0</v>
      </c>
    </row>
    <row r="54" spans="1:15" s="335" customFormat="1" hidden="1" x14ac:dyDescent="0.25">
      <c r="A54" s="748" t="s">
        <v>223</v>
      </c>
      <c r="B54" s="748"/>
      <c r="C54" s="420" t="s">
        <v>224</v>
      </c>
      <c r="D54" s="420"/>
      <c r="E54" s="420">
        <v>5</v>
      </c>
      <c r="F54" s="421">
        <v>5</v>
      </c>
      <c r="G54" s="421">
        <v>2</v>
      </c>
      <c r="H54" s="421">
        <v>0</v>
      </c>
      <c r="I54" s="421">
        <v>0</v>
      </c>
      <c r="J54" s="421">
        <v>3</v>
      </c>
      <c r="K54" s="421">
        <v>0</v>
      </c>
      <c r="L54" s="421">
        <v>0</v>
      </c>
      <c r="M54" s="421">
        <v>0</v>
      </c>
      <c r="N54" s="421">
        <v>0</v>
      </c>
      <c r="O54" s="421">
        <v>0</v>
      </c>
    </row>
    <row r="55" spans="1:15" hidden="1" x14ac:dyDescent="0.25">
      <c r="A55" s="422"/>
      <c r="B55" s="423"/>
      <c r="C55" s="423"/>
      <c r="D55" s="423"/>
      <c r="E55" s="334"/>
    </row>
    <row r="56" spans="1:15" hidden="1" x14ac:dyDescent="0.25">
      <c r="B56" s="750" t="s">
        <v>225</v>
      </c>
      <c r="C56" s="750"/>
      <c r="D56" s="750"/>
      <c r="E56" s="750"/>
      <c r="F56" s="335"/>
      <c r="G56" s="335"/>
      <c r="H56" s="335"/>
      <c r="I56" s="335"/>
      <c r="J56" s="335"/>
      <c r="K56" s="335"/>
      <c r="L56" s="335"/>
      <c r="M56" s="335"/>
      <c r="N56" s="335"/>
    </row>
    <row r="57" spans="1:15" ht="15" hidden="1" customHeight="1" x14ac:dyDescent="0.25">
      <c r="A57" s="415" t="s">
        <v>218</v>
      </c>
      <c r="B57" s="744" t="s">
        <v>226</v>
      </c>
      <c r="C57" s="744"/>
      <c r="D57" s="745" t="s">
        <v>20</v>
      </c>
      <c r="E57" s="745"/>
      <c r="F57" s="754" t="s">
        <v>221</v>
      </c>
      <c r="G57" s="755"/>
      <c r="H57" s="754" t="s">
        <v>26</v>
      </c>
      <c r="I57" s="755"/>
      <c r="J57" s="754" t="s">
        <v>17</v>
      </c>
      <c r="K57" s="755"/>
    </row>
    <row r="58" spans="1:15" ht="15" hidden="1" customHeight="1" x14ac:dyDescent="0.25">
      <c r="A58" s="746" t="s">
        <v>227</v>
      </c>
      <c r="B58" s="742" t="s">
        <v>228</v>
      </c>
      <c r="C58" s="742"/>
      <c r="D58" s="742" t="s">
        <v>229</v>
      </c>
      <c r="E58" s="742"/>
      <c r="F58" s="425" t="s">
        <v>230</v>
      </c>
      <c r="G58" s="425"/>
      <c r="H58" s="425" t="s">
        <v>231</v>
      </c>
      <c r="I58" s="425"/>
      <c r="J58" s="425" t="s">
        <v>232</v>
      </c>
      <c r="K58" s="425"/>
    </row>
    <row r="59" spans="1:15" ht="15" hidden="1" customHeight="1" x14ac:dyDescent="0.25">
      <c r="A59" s="746"/>
      <c r="B59" s="742" t="s">
        <v>233</v>
      </c>
      <c r="C59" s="742"/>
      <c r="D59" s="742" t="s">
        <v>234</v>
      </c>
      <c r="E59" s="742"/>
      <c r="F59" s="425" t="s">
        <v>235</v>
      </c>
      <c r="G59" s="425"/>
      <c r="H59" s="425" t="s">
        <v>236</v>
      </c>
      <c r="I59" s="425"/>
      <c r="J59" s="425" t="s">
        <v>237</v>
      </c>
      <c r="K59" s="425"/>
    </row>
    <row r="60" spans="1:15" ht="15" hidden="1" customHeight="1" x14ac:dyDescent="0.25">
      <c r="A60" s="746"/>
      <c r="B60" s="742" t="s">
        <v>238</v>
      </c>
      <c r="C60" s="742"/>
      <c r="D60" s="742" t="s">
        <v>239</v>
      </c>
      <c r="E60" s="742"/>
      <c r="F60" s="425" t="s">
        <v>240</v>
      </c>
      <c r="G60" s="425"/>
      <c r="H60" s="425"/>
      <c r="I60" s="425"/>
      <c r="J60" s="425" t="s">
        <v>241</v>
      </c>
      <c r="K60" s="425"/>
    </row>
    <row r="61" spans="1:15" ht="15" hidden="1" customHeight="1" x14ac:dyDescent="0.25">
      <c r="A61" s="746"/>
      <c r="B61" s="742" t="s">
        <v>242</v>
      </c>
      <c r="C61" s="742"/>
      <c r="D61" s="742" t="s">
        <v>243</v>
      </c>
      <c r="E61" s="742"/>
      <c r="F61" s="425" t="s">
        <v>244</v>
      </c>
      <c r="G61" s="425"/>
      <c r="H61" s="425"/>
      <c r="I61" s="425"/>
      <c r="J61" s="425"/>
      <c r="K61" s="425"/>
    </row>
    <row r="62" spans="1:15" ht="15" hidden="1" customHeight="1" x14ac:dyDescent="0.25">
      <c r="A62" s="746"/>
      <c r="B62" s="742" t="s">
        <v>245</v>
      </c>
      <c r="C62" s="742"/>
      <c r="D62" s="742" t="s">
        <v>246</v>
      </c>
      <c r="E62" s="742"/>
      <c r="F62" s="425" t="s">
        <v>247</v>
      </c>
      <c r="G62" s="425"/>
      <c r="H62" s="425"/>
      <c r="I62" s="425"/>
      <c r="J62" s="425"/>
      <c r="K62" s="425"/>
    </row>
    <row r="63" spans="1:15" ht="15" hidden="1" customHeight="1" x14ac:dyDescent="0.25">
      <c r="A63" s="746"/>
      <c r="B63" s="742" t="s">
        <v>248</v>
      </c>
      <c r="C63" s="742"/>
      <c r="D63" s="742"/>
      <c r="E63" s="742"/>
      <c r="F63" s="425"/>
      <c r="G63" s="425"/>
      <c r="H63" s="425"/>
      <c r="I63" s="425"/>
      <c r="J63" s="425"/>
      <c r="K63" s="425"/>
    </row>
    <row r="64" spans="1:15" ht="30" hidden="1" customHeight="1" x14ac:dyDescent="0.25">
      <c r="A64" s="426" t="s">
        <v>249</v>
      </c>
      <c r="B64" s="742">
        <v>6</v>
      </c>
      <c r="C64" s="742"/>
      <c r="D64" s="742">
        <v>5</v>
      </c>
      <c r="E64" s="742"/>
      <c r="F64" s="743">
        <v>5</v>
      </c>
      <c r="G64" s="743"/>
      <c r="H64" s="743">
        <v>2</v>
      </c>
      <c r="I64" s="743"/>
      <c r="J64" s="743">
        <v>3</v>
      </c>
      <c r="K64" s="743"/>
    </row>
    <row r="65" spans="1:18" hidden="1" x14ac:dyDescent="0.25">
      <c r="A65" s="427"/>
      <c r="B65" s="428"/>
      <c r="C65" s="427"/>
      <c r="D65" s="427"/>
      <c r="E65" s="427"/>
      <c r="L65" s="335"/>
    </row>
    <row r="66" spans="1:18" x14ac:dyDescent="0.25">
      <c r="A66" s="389" t="s">
        <v>250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</row>
    <row r="67" spans="1:18" s="390" customFormat="1" ht="25.5" x14ac:dyDescent="0.2">
      <c r="A67" s="415" t="s">
        <v>218</v>
      </c>
      <c r="B67" s="429" t="s">
        <v>219</v>
      </c>
      <c r="C67" s="429" t="s">
        <v>220</v>
      </c>
      <c r="D67" s="413" t="s">
        <v>17</v>
      </c>
      <c r="E67" s="413" t="s">
        <v>411</v>
      </c>
      <c r="F67" s="413" t="s">
        <v>19</v>
      </c>
      <c r="G67" s="413" t="s">
        <v>20</v>
      </c>
      <c r="H67" s="413" t="s">
        <v>21</v>
      </c>
      <c r="I67" s="413" t="s">
        <v>22</v>
      </c>
      <c r="J67" s="413" t="s">
        <v>26</v>
      </c>
      <c r="K67" s="413" t="s">
        <v>412</v>
      </c>
      <c r="L67" s="414" t="s">
        <v>29</v>
      </c>
      <c r="M67" s="413" t="s">
        <v>413</v>
      </c>
      <c r="N67" s="413" t="s">
        <v>31</v>
      </c>
      <c r="O67" s="413" t="s">
        <v>32</v>
      </c>
      <c r="P67" s="413" t="s">
        <v>414</v>
      </c>
      <c r="Q67" s="413" t="s">
        <v>260</v>
      </c>
    </row>
    <row r="68" spans="1:18" s="390" customFormat="1" x14ac:dyDescent="0.25">
      <c r="A68" s="415">
        <v>2020</v>
      </c>
      <c r="B68" s="444">
        <f>D37</f>
        <v>1.0418091980235651</v>
      </c>
      <c r="C68" s="431">
        <f>1180*B68</f>
        <v>1229.3348536678068</v>
      </c>
      <c r="D68" s="445">
        <f>$C$68/14</f>
        <v>87.809632404843342</v>
      </c>
      <c r="E68" s="445">
        <f t="shared" ref="E68:Q68" si="9">$C$68/14</f>
        <v>87.809632404843342</v>
      </c>
      <c r="F68" s="445">
        <f t="shared" si="9"/>
        <v>87.809632404843342</v>
      </c>
      <c r="G68" s="445">
        <f t="shared" si="9"/>
        <v>87.809632404843342</v>
      </c>
      <c r="H68" s="445">
        <f t="shared" si="9"/>
        <v>87.809632404843342</v>
      </c>
      <c r="I68" s="445">
        <f t="shared" si="9"/>
        <v>87.809632404843342</v>
      </c>
      <c r="J68" s="445">
        <f t="shared" si="9"/>
        <v>87.809632404843342</v>
      </c>
      <c r="K68" s="445">
        <f t="shared" si="9"/>
        <v>87.809632404843342</v>
      </c>
      <c r="L68" s="445">
        <f t="shared" si="9"/>
        <v>87.809632404843342</v>
      </c>
      <c r="M68" s="445">
        <f t="shared" si="9"/>
        <v>87.809632404843342</v>
      </c>
      <c r="N68" s="445">
        <f t="shared" si="9"/>
        <v>87.809632404843342</v>
      </c>
      <c r="O68" s="445">
        <f t="shared" si="9"/>
        <v>87.809632404843342</v>
      </c>
      <c r="P68" s="445">
        <f t="shared" si="9"/>
        <v>87.809632404843342</v>
      </c>
      <c r="Q68" s="445">
        <f t="shared" si="9"/>
        <v>87.809632404843342</v>
      </c>
    </row>
    <row r="69" spans="1:18" s="390" customFormat="1" x14ac:dyDescent="0.25">
      <c r="A69" s="415">
        <v>2019</v>
      </c>
      <c r="B69" s="430">
        <f>2694/2631</f>
        <v>1.0239452679589509</v>
      </c>
      <c r="C69" s="431">
        <f>1180*B69</f>
        <v>1208.2554161915621</v>
      </c>
      <c r="D69" s="432">
        <f>$C$69/14</f>
        <v>86.303958299397294</v>
      </c>
      <c r="E69" s="432">
        <f t="shared" ref="E69:Q69" si="10">$C$69/14</f>
        <v>86.303958299397294</v>
      </c>
      <c r="F69" s="432">
        <f t="shared" si="10"/>
        <v>86.303958299397294</v>
      </c>
      <c r="G69" s="432">
        <f t="shared" si="10"/>
        <v>86.303958299397294</v>
      </c>
      <c r="H69" s="432">
        <f t="shared" si="10"/>
        <v>86.303958299397294</v>
      </c>
      <c r="I69" s="432">
        <f t="shared" si="10"/>
        <v>86.303958299397294</v>
      </c>
      <c r="J69" s="432">
        <f t="shared" si="10"/>
        <v>86.303958299397294</v>
      </c>
      <c r="K69" s="432">
        <f t="shared" si="10"/>
        <v>86.303958299397294</v>
      </c>
      <c r="L69" s="432">
        <f t="shared" si="10"/>
        <v>86.303958299397294</v>
      </c>
      <c r="M69" s="432">
        <f t="shared" si="10"/>
        <v>86.303958299397294</v>
      </c>
      <c r="N69" s="432">
        <f t="shared" si="10"/>
        <v>86.303958299397294</v>
      </c>
      <c r="O69" s="432">
        <f t="shared" si="10"/>
        <v>86.303958299397294</v>
      </c>
      <c r="P69" s="432">
        <f t="shared" si="10"/>
        <v>86.303958299397294</v>
      </c>
      <c r="Q69" s="432">
        <f t="shared" si="10"/>
        <v>86.303958299397294</v>
      </c>
    </row>
    <row r="70" spans="1:18" x14ac:dyDescent="0.25">
      <c r="A70" s="433">
        <v>2018</v>
      </c>
      <c r="B70" s="434" t="s">
        <v>155</v>
      </c>
      <c r="C70" s="435">
        <f>1180-1180*35/100</f>
        <v>767</v>
      </c>
      <c r="D70" s="436">
        <f>$C$70/14</f>
        <v>54.785714285714285</v>
      </c>
      <c r="E70" s="436">
        <f t="shared" ref="E70:Q70" si="11">$C$70/14</f>
        <v>54.785714285714285</v>
      </c>
      <c r="F70" s="436">
        <f t="shared" si="11"/>
        <v>54.785714285714285</v>
      </c>
      <c r="G70" s="436">
        <f t="shared" si="11"/>
        <v>54.785714285714285</v>
      </c>
      <c r="H70" s="436">
        <f t="shared" si="11"/>
        <v>54.785714285714285</v>
      </c>
      <c r="I70" s="437">
        <v>0</v>
      </c>
      <c r="J70" s="436">
        <f t="shared" si="11"/>
        <v>54.785714285714285</v>
      </c>
      <c r="K70" s="436">
        <f t="shared" si="11"/>
        <v>54.785714285714285</v>
      </c>
      <c r="L70" s="436">
        <f t="shared" si="11"/>
        <v>54.785714285714285</v>
      </c>
      <c r="M70" s="436">
        <f t="shared" si="11"/>
        <v>54.785714285714285</v>
      </c>
      <c r="N70" s="436">
        <f t="shared" si="11"/>
        <v>54.785714285714285</v>
      </c>
      <c r="O70" s="436">
        <f t="shared" si="11"/>
        <v>54.785714285714285</v>
      </c>
      <c r="P70" s="436">
        <f t="shared" si="11"/>
        <v>54.785714285714285</v>
      </c>
      <c r="Q70" s="436">
        <f t="shared" si="11"/>
        <v>54.785714285714285</v>
      </c>
      <c r="R70" s="340"/>
    </row>
    <row r="71" spans="1:18" s="403" customFormat="1" x14ac:dyDescent="0.25">
      <c r="A71" s="433">
        <v>2017</v>
      </c>
      <c r="B71" s="438">
        <f>(2570/2458)</f>
        <v>1.0455655004068349</v>
      </c>
      <c r="C71" s="437">
        <f>C74*B71</f>
        <v>1182.5345809601304</v>
      </c>
      <c r="D71" s="439">
        <f t="shared" ref="D71:Q71" si="12">$C$39/11</f>
        <v>0</v>
      </c>
      <c r="E71" s="437">
        <v>0</v>
      </c>
      <c r="F71" s="437">
        <v>0</v>
      </c>
      <c r="G71" s="439">
        <f>$C$71/11</f>
        <v>107.50314372364822</v>
      </c>
      <c r="H71" s="439">
        <f t="shared" si="12"/>
        <v>0</v>
      </c>
      <c r="I71" s="437">
        <v>0</v>
      </c>
      <c r="J71" s="439">
        <f t="shared" si="12"/>
        <v>0</v>
      </c>
      <c r="K71" s="439">
        <f t="shared" si="12"/>
        <v>0</v>
      </c>
      <c r="L71" s="439">
        <f t="shared" si="12"/>
        <v>0</v>
      </c>
      <c r="M71" s="439">
        <f t="shared" si="12"/>
        <v>0</v>
      </c>
      <c r="N71" s="439">
        <f t="shared" si="12"/>
        <v>0</v>
      </c>
      <c r="O71" s="439">
        <f t="shared" si="12"/>
        <v>0</v>
      </c>
      <c r="P71" s="439">
        <v>0</v>
      </c>
      <c r="Q71" s="439">
        <f t="shared" si="12"/>
        <v>0</v>
      </c>
    </row>
    <row r="72" spans="1:18" x14ac:dyDescent="0.25">
      <c r="A72" s="415">
        <v>2016</v>
      </c>
      <c r="B72" s="416">
        <v>1.02685</v>
      </c>
      <c r="C72" s="418">
        <f>B72*C74</f>
        <v>1161.36735</v>
      </c>
      <c r="D72" s="418">
        <f t="shared" ref="D72:Q74" si="13">$C72/11</f>
        <v>105.57885</v>
      </c>
      <c r="E72" s="437">
        <v>0</v>
      </c>
      <c r="F72" s="437">
        <v>0</v>
      </c>
      <c r="G72" s="418">
        <f t="shared" ref="G72:H74" si="14">$C72/11</f>
        <v>105.57885</v>
      </c>
      <c r="H72" s="418">
        <f t="shared" si="14"/>
        <v>105.57885</v>
      </c>
      <c r="I72" s="437">
        <v>0</v>
      </c>
      <c r="J72" s="418">
        <f t="shared" si="13"/>
        <v>105.57885</v>
      </c>
      <c r="K72" s="418">
        <f t="shared" si="13"/>
        <v>105.57885</v>
      </c>
      <c r="L72" s="418">
        <f t="shared" si="13"/>
        <v>105.57885</v>
      </c>
      <c r="M72" s="418">
        <f t="shared" si="13"/>
        <v>105.57885</v>
      </c>
      <c r="N72" s="418">
        <f t="shared" si="13"/>
        <v>105.57885</v>
      </c>
      <c r="O72" s="418">
        <f t="shared" si="13"/>
        <v>105.57885</v>
      </c>
      <c r="P72" s="418">
        <v>0</v>
      </c>
      <c r="Q72" s="418">
        <f t="shared" si="13"/>
        <v>105.57885</v>
      </c>
    </row>
    <row r="73" spans="1:18" x14ac:dyDescent="0.25">
      <c r="A73" s="415">
        <v>2015</v>
      </c>
      <c r="B73" s="420">
        <v>0.996</v>
      </c>
      <c r="C73" s="418">
        <f>B73*C74</f>
        <v>1126.4759999999999</v>
      </c>
      <c r="D73" s="418">
        <f t="shared" si="13"/>
        <v>102.40690909090908</v>
      </c>
      <c r="E73" s="437">
        <v>0</v>
      </c>
      <c r="F73" s="437">
        <v>0</v>
      </c>
      <c r="G73" s="418">
        <f t="shared" si="14"/>
        <v>102.40690909090908</v>
      </c>
      <c r="H73" s="418">
        <f t="shared" si="14"/>
        <v>102.40690909090908</v>
      </c>
      <c r="I73" s="437">
        <v>0</v>
      </c>
      <c r="J73" s="418">
        <f t="shared" si="13"/>
        <v>102.40690909090908</v>
      </c>
      <c r="K73" s="418">
        <f t="shared" si="13"/>
        <v>102.40690909090908</v>
      </c>
      <c r="L73" s="418">
        <f t="shared" si="13"/>
        <v>102.40690909090908</v>
      </c>
      <c r="M73" s="418">
        <f t="shared" si="13"/>
        <v>102.40690909090908</v>
      </c>
      <c r="N73" s="418">
        <f t="shared" si="13"/>
        <v>102.40690909090908</v>
      </c>
      <c r="O73" s="418">
        <f t="shared" si="13"/>
        <v>102.40690909090908</v>
      </c>
      <c r="P73" s="418">
        <v>0</v>
      </c>
      <c r="Q73" s="418">
        <f t="shared" si="13"/>
        <v>102.40690909090908</v>
      </c>
    </row>
    <row r="74" spans="1:18" x14ac:dyDescent="0.25">
      <c r="A74" s="415">
        <v>2014</v>
      </c>
      <c r="B74" s="440" t="s">
        <v>155</v>
      </c>
      <c r="C74" s="418">
        <v>1131</v>
      </c>
      <c r="D74" s="418">
        <f t="shared" si="13"/>
        <v>102.81818181818181</v>
      </c>
      <c r="E74" s="437">
        <v>0</v>
      </c>
      <c r="F74" s="437">
        <v>0</v>
      </c>
      <c r="G74" s="418">
        <f t="shared" si="14"/>
        <v>102.81818181818181</v>
      </c>
      <c r="H74" s="418">
        <f t="shared" si="14"/>
        <v>102.81818181818181</v>
      </c>
      <c r="I74" s="437">
        <v>0</v>
      </c>
      <c r="J74" s="418">
        <f t="shared" si="13"/>
        <v>102.81818181818181</v>
      </c>
      <c r="K74" s="418">
        <f t="shared" si="13"/>
        <v>102.81818181818181</v>
      </c>
      <c r="L74" s="418">
        <f t="shared" si="13"/>
        <v>102.81818181818181</v>
      </c>
      <c r="M74" s="418">
        <f t="shared" si="13"/>
        <v>102.81818181818181</v>
      </c>
      <c r="N74" s="418">
        <f t="shared" si="13"/>
        <v>102.81818181818181</v>
      </c>
      <c r="O74" s="418">
        <f t="shared" si="13"/>
        <v>102.81818181818181</v>
      </c>
      <c r="P74" s="418">
        <v>0</v>
      </c>
      <c r="Q74" s="418">
        <f t="shared" si="13"/>
        <v>102.81818181818181</v>
      </c>
    </row>
    <row r="75" spans="1:18" x14ac:dyDescent="0.25">
      <c r="B75" s="334"/>
      <c r="C75" s="334"/>
      <c r="D75" s="334"/>
      <c r="E75" s="334"/>
    </row>
    <row r="76" spans="1:18" x14ac:dyDescent="0.25">
      <c r="A76" s="389" t="s">
        <v>251</v>
      </c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</row>
    <row r="77" spans="1:18" s="390" customFormat="1" ht="25.5" x14ac:dyDescent="0.2">
      <c r="A77" s="415" t="s">
        <v>218</v>
      </c>
      <c r="B77" s="429" t="s">
        <v>219</v>
      </c>
      <c r="C77" s="429" t="s">
        <v>220</v>
      </c>
      <c r="D77" s="413" t="s">
        <v>17</v>
      </c>
      <c r="E77" s="413" t="s">
        <v>411</v>
      </c>
      <c r="F77" s="413" t="s">
        <v>19</v>
      </c>
      <c r="G77" s="413" t="s">
        <v>20</v>
      </c>
      <c r="H77" s="413" t="s">
        <v>21</v>
      </c>
      <c r="I77" s="413" t="s">
        <v>22</v>
      </c>
      <c r="J77" s="413" t="s">
        <v>26</v>
      </c>
      <c r="K77" s="413" t="s">
        <v>412</v>
      </c>
      <c r="L77" s="414" t="s">
        <v>29</v>
      </c>
      <c r="M77" s="413" t="s">
        <v>413</v>
      </c>
      <c r="N77" s="413" t="s">
        <v>31</v>
      </c>
      <c r="O77" s="413" t="s">
        <v>32</v>
      </c>
      <c r="P77" s="413" t="s">
        <v>414</v>
      </c>
      <c r="Q77" s="413" t="s">
        <v>260</v>
      </c>
    </row>
    <row r="78" spans="1:18" s="390" customFormat="1" x14ac:dyDescent="0.25">
      <c r="A78" s="415">
        <v>2020</v>
      </c>
      <c r="B78" s="444">
        <f>D37</f>
        <v>1.0418091980235651</v>
      </c>
      <c r="C78" s="429"/>
      <c r="D78" s="432">
        <f>3293*B78</f>
        <v>3430.6776890915999</v>
      </c>
      <c r="E78" s="413"/>
      <c r="F78" s="413"/>
      <c r="G78" s="432">
        <f>G80*B78</f>
        <v>3430.6776890915999</v>
      </c>
      <c r="H78" s="413"/>
      <c r="I78" s="413"/>
      <c r="J78" s="413"/>
      <c r="K78" s="413"/>
      <c r="L78" s="414"/>
      <c r="M78" s="413"/>
      <c r="N78" s="413"/>
      <c r="O78" s="413"/>
      <c r="P78" s="413"/>
      <c r="Q78" s="432">
        <f>Q80*B78</f>
        <v>25234.702394526794</v>
      </c>
    </row>
    <row r="79" spans="1:18" s="390" customFormat="1" x14ac:dyDescent="0.25">
      <c r="A79" s="415">
        <v>2019</v>
      </c>
      <c r="B79" s="430">
        <f>2694/2631</f>
        <v>1.0239452679589509</v>
      </c>
      <c r="C79" s="431"/>
      <c r="D79" s="432">
        <v>3372</v>
      </c>
      <c r="E79" s="432"/>
      <c r="F79" s="432"/>
      <c r="G79" s="432">
        <v>3372</v>
      </c>
      <c r="H79" s="432"/>
      <c r="I79" s="432"/>
      <c r="J79" s="432"/>
      <c r="K79" s="432"/>
      <c r="L79" s="432"/>
      <c r="M79" s="432"/>
      <c r="N79" s="432"/>
      <c r="O79" s="432"/>
      <c r="P79" s="432"/>
      <c r="Q79" s="432">
        <v>24802</v>
      </c>
    </row>
    <row r="80" spans="1:18" x14ac:dyDescent="0.25">
      <c r="A80" s="433">
        <v>2018</v>
      </c>
      <c r="B80" s="434" t="s">
        <v>155</v>
      </c>
      <c r="C80" s="435"/>
      <c r="D80" s="436">
        <v>3293</v>
      </c>
      <c r="E80" s="436"/>
      <c r="F80" s="436"/>
      <c r="G80" s="436">
        <v>3293</v>
      </c>
      <c r="H80" s="436"/>
      <c r="I80" s="437"/>
      <c r="J80" s="436"/>
      <c r="K80" s="436"/>
      <c r="L80" s="436"/>
      <c r="M80" s="436"/>
      <c r="N80" s="436"/>
      <c r="O80" s="436"/>
      <c r="P80" s="436"/>
      <c r="Q80" s="436">
        <v>24222</v>
      </c>
      <c r="R80" s="340"/>
    </row>
    <row r="81" spans="1:18" s="403" customFormat="1" x14ac:dyDescent="0.25">
      <c r="A81" s="433">
        <v>2017</v>
      </c>
      <c r="B81" s="438">
        <f>(2570/2458)</f>
        <v>1.0455655004068349</v>
      </c>
      <c r="C81" s="431">
        <f>B81*C84</f>
        <v>3659.4792514239221</v>
      </c>
      <c r="D81" s="418">
        <f t="shared" ref="D81:D83" si="15">C81</f>
        <v>3659.4792514239221</v>
      </c>
      <c r="E81" s="437"/>
      <c r="F81" s="437"/>
      <c r="G81" s="437">
        <f>C81</f>
        <v>3659.4792514239221</v>
      </c>
      <c r="H81" s="439"/>
      <c r="I81" s="437"/>
      <c r="J81" s="439"/>
      <c r="K81" s="439"/>
      <c r="L81" s="439"/>
      <c r="M81" s="439"/>
      <c r="N81" s="439"/>
      <c r="O81" s="439"/>
      <c r="P81" s="439"/>
      <c r="Q81" s="439"/>
    </row>
    <row r="82" spans="1:18" x14ac:dyDescent="0.25">
      <c r="A82" s="415">
        <v>2016</v>
      </c>
      <c r="B82" s="416">
        <v>1.02685</v>
      </c>
      <c r="C82" s="418">
        <f>B82*C84</f>
        <v>3593.9750000000004</v>
      </c>
      <c r="D82" s="418">
        <f t="shared" si="15"/>
        <v>3593.9750000000004</v>
      </c>
      <c r="E82" s="437"/>
      <c r="F82" s="437"/>
      <c r="G82" s="437">
        <f>C82</f>
        <v>3593.9750000000004</v>
      </c>
      <c r="H82" s="418"/>
      <c r="I82" s="437"/>
      <c r="J82" s="418"/>
      <c r="K82" s="418"/>
      <c r="L82" s="418"/>
      <c r="M82" s="418"/>
      <c r="N82" s="418"/>
      <c r="O82" s="418"/>
      <c r="P82" s="418"/>
      <c r="Q82" s="418"/>
    </row>
    <row r="83" spans="1:18" x14ac:dyDescent="0.25">
      <c r="A83" s="415">
        <v>2015</v>
      </c>
      <c r="B83" s="420">
        <v>0.996</v>
      </c>
      <c r="C83" s="418">
        <f>B83*C84</f>
        <v>3486</v>
      </c>
      <c r="D83" s="418">
        <f t="shared" si="15"/>
        <v>3486</v>
      </c>
      <c r="E83" s="437"/>
      <c r="F83" s="437"/>
      <c r="G83" s="437">
        <f>C83</f>
        <v>3486</v>
      </c>
      <c r="H83" s="418"/>
      <c r="I83" s="437"/>
      <c r="J83" s="418"/>
      <c r="K83" s="418"/>
      <c r="L83" s="418"/>
      <c r="M83" s="418"/>
      <c r="N83" s="418"/>
      <c r="O83" s="418"/>
      <c r="P83" s="418"/>
      <c r="Q83" s="418"/>
    </row>
    <row r="84" spans="1:18" x14ac:dyDescent="0.25">
      <c r="A84" s="415">
        <v>2014</v>
      </c>
      <c r="B84" s="440" t="s">
        <v>155</v>
      </c>
      <c r="C84" s="418">
        <v>3500</v>
      </c>
      <c r="D84" s="418">
        <f>C84</f>
        <v>3500</v>
      </c>
      <c r="E84" s="437"/>
      <c r="F84" s="437"/>
      <c r="G84" s="437">
        <f>C84</f>
        <v>3500</v>
      </c>
      <c r="H84" s="418"/>
      <c r="I84" s="437"/>
      <c r="J84" s="418"/>
      <c r="K84" s="418"/>
      <c r="L84" s="418"/>
      <c r="M84" s="418"/>
      <c r="N84" s="418"/>
      <c r="O84" s="418"/>
      <c r="P84" s="418"/>
      <c r="Q84" s="418"/>
    </row>
    <row r="85" spans="1:18" x14ac:dyDescent="0.25">
      <c r="A85" s="422"/>
      <c r="B85" s="441"/>
      <c r="C85" s="442"/>
      <c r="D85" s="442"/>
      <c r="E85" s="443"/>
      <c r="F85" s="443"/>
      <c r="G85" s="442"/>
      <c r="H85" s="442"/>
      <c r="I85" s="443"/>
      <c r="J85" s="442"/>
      <c r="K85" s="442"/>
      <c r="L85" s="442"/>
      <c r="M85" s="442"/>
      <c r="N85" s="442"/>
      <c r="O85" s="442"/>
      <c r="P85" s="442"/>
      <c r="Q85" s="442"/>
    </row>
    <row r="86" spans="1:18" s="390" customFormat="1" ht="25.5" x14ac:dyDescent="0.2">
      <c r="A86" s="415" t="s">
        <v>218</v>
      </c>
      <c r="B86" s="429" t="s">
        <v>219</v>
      </c>
      <c r="C86" s="429" t="s">
        <v>220</v>
      </c>
      <c r="D86" s="413" t="s">
        <v>17</v>
      </c>
      <c r="E86" s="413" t="s">
        <v>411</v>
      </c>
      <c r="F86" s="413" t="s">
        <v>19</v>
      </c>
      <c r="G86" s="413" t="s">
        <v>20</v>
      </c>
      <c r="H86" s="413" t="s">
        <v>21</v>
      </c>
      <c r="I86" s="413" t="s">
        <v>22</v>
      </c>
      <c r="J86" s="413" t="s">
        <v>26</v>
      </c>
      <c r="K86" s="413" t="s">
        <v>412</v>
      </c>
      <c r="L86" s="414" t="s">
        <v>29</v>
      </c>
      <c r="M86" s="413" t="s">
        <v>413</v>
      </c>
      <c r="N86" s="413" t="s">
        <v>31</v>
      </c>
      <c r="O86" s="413" t="s">
        <v>32</v>
      </c>
      <c r="P86" s="413" t="s">
        <v>414</v>
      </c>
      <c r="Q86" s="413" t="s">
        <v>260</v>
      </c>
    </row>
    <row r="87" spans="1:18" s="390" customFormat="1" x14ac:dyDescent="0.25">
      <c r="A87" s="415">
        <v>2020</v>
      </c>
      <c r="B87" s="444">
        <f>D37</f>
        <v>1.0418091980235651</v>
      </c>
      <c r="C87" s="431">
        <f>C89*B87</f>
        <v>927.21018624097292</v>
      </c>
      <c r="D87" s="445"/>
      <c r="E87" s="445"/>
      <c r="F87" s="445"/>
      <c r="G87" s="445">
        <f>C87</f>
        <v>927.21018624097292</v>
      </c>
      <c r="H87" s="445"/>
      <c r="I87" s="445"/>
      <c r="J87" s="445"/>
      <c r="K87" s="445"/>
      <c r="L87" s="445"/>
      <c r="M87" s="445"/>
      <c r="N87" s="445">
        <f>C87</f>
        <v>927.21018624097292</v>
      </c>
      <c r="O87" s="445"/>
      <c r="P87" s="445"/>
      <c r="Q87" s="445"/>
    </row>
    <row r="88" spans="1:18" s="390" customFormat="1" x14ac:dyDescent="0.25">
      <c r="A88" s="415">
        <v>2019</v>
      </c>
      <c r="B88" s="430">
        <f>2694/2631</f>
        <v>1.0239452679589509</v>
      </c>
      <c r="C88" s="431">
        <f>C89*B88</f>
        <v>911.31128848346634</v>
      </c>
      <c r="D88" s="432"/>
      <c r="E88" s="432"/>
      <c r="F88" s="432"/>
      <c r="G88" s="432">
        <f>C88</f>
        <v>911.31128848346634</v>
      </c>
      <c r="H88" s="432"/>
      <c r="I88" s="432"/>
      <c r="J88" s="432"/>
      <c r="K88" s="432"/>
      <c r="L88" s="432"/>
      <c r="M88" s="432"/>
      <c r="N88" s="432">
        <f>C88</f>
        <v>911.31128848346634</v>
      </c>
      <c r="O88" s="432"/>
      <c r="P88" s="432"/>
      <c r="Q88" s="432"/>
    </row>
    <row r="89" spans="1:18" x14ac:dyDescent="0.25">
      <c r="A89" s="433">
        <v>2018</v>
      </c>
      <c r="B89" s="434" t="s">
        <v>155</v>
      </c>
      <c r="C89" s="431">
        <v>890</v>
      </c>
      <c r="D89" s="436"/>
      <c r="E89" s="436"/>
      <c r="F89" s="436"/>
      <c r="G89" s="432">
        <f t="shared" ref="G89:G93" si="16">C89</f>
        <v>890</v>
      </c>
      <c r="H89" s="436"/>
      <c r="I89" s="437"/>
      <c r="J89" s="436"/>
      <c r="K89" s="436"/>
      <c r="L89" s="436"/>
      <c r="M89" s="436"/>
      <c r="N89" s="432">
        <f t="shared" ref="N89:N93" si="17">C89</f>
        <v>890</v>
      </c>
      <c r="O89" s="436"/>
      <c r="P89" s="436"/>
      <c r="Q89" s="436"/>
      <c r="R89" s="340"/>
    </row>
    <row r="90" spans="1:18" s="403" customFormat="1" x14ac:dyDescent="0.25">
      <c r="A90" s="433">
        <v>2017</v>
      </c>
      <c r="B90" s="438">
        <f>(2570/2458)</f>
        <v>1.0455655004068349</v>
      </c>
      <c r="C90" s="431">
        <f>C93*B90</f>
        <v>888.73067534580969</v>
      </c>
      <c r="D90" s="418"/>
      <c r="E90" s="437"/>
      <c r="F90" s="437"/>
      <c r="G90" s="432">
        <f t="shared" si="16"/>
        <v>888.73067534580969</v>
      </c>
      <c r="H90" s="439"/>
      <c r="I90" s="437"/>
      <c r="J90" s="439"/>
      <c r="K90" s="439"/>
      <c r="L90" s="439"/>
      <c r="M90" s="439"/>
      <c r="N90" s="432">
        <f t="shared" si="17"/>
        <v>888.73067534580969</v>
      </c>
      <c r="O90" s="439"/>
      <c r="P90" s="439"/>
      <c r="Q90" s="439"/>
    </row>
    <row r="91" spans="1:18" x14ac:dyDescent="0.25">
      <c r="A91" s="415">
        <v>2016</v>
      </c>
      <c r="B91" s="416">
        <v>1.02685</v>
      </c>
      <c r="C91" s="418">
        <f>B91*C93</f>
        <v>872.82249999999999</v>
      </c>
      <c r="D91" s="418"/>
      <c r="E91" s="437"/>
      <c r="F91" s="437"/>
      <c r="G91" s="432">
        <f t="shared" si="16"/>
        <v>872.82249999999999</v>
      </c>
      <c r="H91" s="418"/>
      <c r="I91" s="437"/>
      <c r="J91" s="418"/>
      <c r="K91" s="418"/>
      <c r="L91" s="418"/>
      <c r="M91" s="418"/>
      <c r="N91" s="432">
        <f t="shared" si="17"/>
        <v>872.82249999999999</v>
      </c>
      <c r="O91" s="418"/>
      <c r="P91" s="418"/>
      <c r="Q91" s="418"/>
    </row>
    <row r="92" spans="1:18" x14ac:dyDescent="0.25">
      <c r="A92" s="415">
        <v>2015</v>
      </c>
      <c r="B92" s="420">
        <v>0.996</v>
      </c>
      <c r="C92" s="418">
        <f>B92*C93</f>
        <v>846.6</v>
      </c>
      <c r="D92" s="418"/>
      <c r="E92" s="437"/>
      <c r="F92" s="437"/>
      <c r="G92" s="432">
        <f t="shared" si="16"/>
        <v>846.6</v>
      </c>
      <c r="H92" s="418"/>
      <c r="I92" s="437"/>
      <c r="J92" s="418"/>
      <c r="K92" s="418"/>
      <c r="L92" s="418"/>
      <c r="M92" s="418"/>
      <c r="N92" s="432">
        <f t="shared" si="17"/>
        <v>846.6</v>
      </c>
      <c r="O92" s="418"/>
      <c r="P92" s="418"/>
      <c r="Q92" s="418"/>
    </row>
    <row r="93" spans="1:18" x14ac:dyDescent="0.25">
      <c r="A93" s="415">
        <v>2014</v>
      </c>
      <c r="B93" s="440" t="s">
        <v>155</v>
      </c>
      <c r="C93" s="418">
        <v>850</v>
      </c>
      <c r="D93" s="418"/>
      <c r="E93" s="437"/>
      <c r="F93" s="437"/>
      <c r="G93" s="431">
        <f t="shared" si="16"/>
        <v>850</v>
      </c>
      <c r="H93" s="418"/>
      <c r="I93" s="437"/>
      <c r="J93" s="418"/>
      <c r="K93" s="418"/>
      <c r="L93" s="418"/>
      <c r="M93" s="418"/>
      <c r="N93" s="431">
        <f t="shared" si="17"/>
        <v>850</v>
      </c>
      <c r="O93" s="418"/>
      <c r="P93" s="418"/>
      <c r="Q93" s="418"/>
    </row>
    <row r="94" spans="1:18" x14ac:dyDescent="0.25">
      <c r="A94" s="422"/>
      <c r="B94" s="441"/>
      <c r="C94" s="442"/>
      <c r="D94" s="442"/>
      <c r="E94" s="443"/>
      <c r="F94" s="443"/>
      <c r="G94" s="442"/>
      <c r="H94" s="442"/>
      <c r="I94" s="443"/>
      <c r="J94" s="442"/>
      <c r="K94" s="442"/>
      <c r="L94" s="442"/>
      <c r="M94" s="442"/>
      <c r="N94" s="442"/>
      <c r="O94" s="442"/>
      <c r="P94" s="442"/>
      <c r="Q94" s="442"/>
    </row>
  </sheetData>
  <mergeCells count="46">
    <mergeCell ref="F57:G57"/>
    <mergeCell ref="H57:I57"/>
    <mergeCell ref="J57:K57"/>
    <mergeCell ref="L1:L3"/>
    <mergeCell ref="M1:Q1"/>
    <mergeCell ref="M2:Q2"/>
    <mergeCell ref="J3:J7"/>
    <mergeCell ref="B2:G2"/>
    <mergeCell ref="B1:G1"/>
    <mergeCell ref="B32:C32"/>
    <mergeCell ref="B31:C31"/>
    <mergeCell ref="B36:C36"/>
    <mergeCell ref="B37:C37"/>
    <mergeCell ref="B39:D39"/>
    <mergeCell ref="B40:C40"/>
    <mergeCell ref="A43:C43"/>
    <mergeCell ref="A1:A3"/>
    <mergeCell ref="B30:D30"/>
    <mergeCell ref="B33:C33"/>
    <mergeCell ref="B34:C34"/>
    <mergeCell ref="B35:C35"/>
    <mergeCell ref="A44:C44"/>
    <mergeCell ref="A45:C45"/>
    <mergeCell ref="A54:B54"/>
    <mergeCell ref="A46:C46"/>
    <mergeCell ref="B56:E56"/>
    <mergeCell ref="B57:C57"/>
    <mergeCell ref="D57:E57"/>
    <mergeCell ref="A58:A63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F64:G64"/>
    <mergeCell ref="H64:I64"/>
    <mergeCell ref="J64:K6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76"/>
  <sheetViews>
    <sheetView workbookViewId="0">
      <selection activeCell="M14" sqref="M14"/>
    </sheetView>
  </sheetViews>
  <sheetFormatPr baseColWidth="10" defaultColWidth="9.140625" defaultRowHeight="15" x14ac:dyDescent="0.25"/>
  <cols>
    <col min="1" max="1" width="20" style="334" customWidth="1"/>
    <col min="2" max="2" width="21" style="334" customWidth="1"/>
    <col min="3" max="3" width="15.7109375" style="334" customWidth="1"/>
    <col min="4" max="4" width="14" style="424" customWidth="1"/>
    <col min="5" max="6" width="9.140625" style="424"/>
    <col min="7" max="7" width="13.5703125" style="424" customWidth="1"/>
    <col min="8" max="8" width="10.42578125" style="334" bestFit="1" customWidth="1"/>
    <col min="9" max="9" width="11.7109375" style="334" customWidth="1"/>
    <col min="10" max="10" width="10.42578125" style="334" bestFit="1" customWidth="1"/>
    <col min="11" max="13" width="9.140625" style="334"/>
    <col min="14" max="16" width="9.140625" style="424"/>
    <col min="17" max="16384" width="9.140625" style="334"/>
  </cols>
  <sheetData>
    <row r="1" spans="1:16" ht="15" customHeight="1" x14ac:dyDescent="0.25">
      <c r="A1" s="751" t="s">
        <v>52</v>
      </c>
      <c r="B1" s="773" t="s">
        <v>252</v>
      </c>
      <c r="C1" s="773"/>
      <c r="D1" s="773"/>
      <c r="E1" s="457"/>
      <c r="F1" s="334"/>
      <c r="G1" s="334" t="s">
        <v>52</v>
      </c>
      <c r="H1" s="334" t="s">
        <v>253</v>
      </c>
      <c r="N1" s="334"/>
      <c r="O1" s="334"/>
      <c r="P1" s="334"/>
    </row>
    <row r="2" spans="1:16" x14ac:dyDescent="0.25">
      <c r="A2" s="751"/>
      <c r="B2" s="774" t="s">
        <v>438</v>
      </c>
      <c r="C2" s="774"/>
      <c r="D2" s="774"/>
      <c r="E2" s="457"/>
      <c r="F2" s="334"/>
      <c r="G2" s="334"/>
      <c r="H2" s="334">
        <v>2020</v>
      </c>
      <c r="N2" s="334"/>
      <c r="O2" s="334"/>
      <c r="P2" s="334"/>
    </row>
    <row r="3" spans="1:16" ht="60" x14ac:dyDescent="0.25">
      <c r="A3" s="751"/>
      <c r="B3" s="458" t="s">
        <v>158</v>
      </c>
      <c r="C3" s="459" t="s">
        <v>205</v>
      </c>
      <c r="D3" s="459" t="s">
        <v>206</v>
      </c>
      <c r="E3" s="460"/>
      <c r="F3" s="334"/>
      <c r="G3" s="334"/>
      <c r="H3" s="334" t="s">
        <v>199</v>
      </c>
      <c r="I3" s="334" t="s">
        <v>200</v>
      </c>
      <c r="J3" s="334" t="s">
        <v>201</v>
      </c>
      <c r="N3" s="334"/>
      <c r="O3" s="334"/>
      <c r="P3" s="334"/>
    </row>
    <row r="4" spans="1:16" x14ac:dyDescent="0.25">
      <c r="A4" s="344" t="s">
        <v>17</v>
      </c>
      <c r="B4" s="349">
        <f>C4+D4</f>
        <v>1976.7223078100712</v>
      </c>
      <c r="C4" s="346">
        <f>H4</f>
        <v>1976.7223078100712</v>
      </c>
      <c r="D4" s="347">
        <f>I44</f>
        <v>0</v>
      </c>
      <c r="E4" s="461"/>
      <c r="F4" s="334"/>
      <c r="G4" s="334" t="s">
        <v>17</v>
      </c>
      <c r="H4" s="462">
        <f>I4+J4</f>
        <v>1976.7223078100712</v>
      </c>
      <c r="I4" s="462">
        <f>'ANNEXE 1 Grille'!B2*($D$32*74/100)</f>
        <v>1098.4320108380755</v>
      </c>
      <c r="J4" s="463">
        <f>IF(I4&lt;&gt;0,$I$27/D$30,I4)</f>
        <v>878.29029697199576</v>
      </c>
      <c r="N4" s="334"/>
      <c r="O4" s="334"/>
      <c r="P4" s="334"/>
    </row>
    <row r="5" spans="1:16" x14ac:dyDescent="0.25">
      <c r="A5" s="344" t="s">
        <v>18</v>
      </c>
      <c r="B5" s="349">
        <f t="shared" ref="B5:B25" si="0">C5+D5</f>
        <v>0</v>
      </c>
      <c r="C5" s="346">
        <f t="shared" ref="C5:C22" si="1">H5</f>
        <v>0</v>
      </c>
      <c r="D5" s="347"/>
      <c r="E5" s="461"/>
      <c r="F5" s="334"/>
      <c r="G5" s="334" t="s">
        <v>18</v>
      </c>
      <c r="H5" s="462">
        <f t="shared" ref="H5:H24" si="2">I5+J5</f>
        <v>0</v>
      </c>
      <c r="I5" s="462"/>
      <c r="J5" s="463">
        <f t="shared" ref="J5:J24" si="3">IF(I5&lt;&gt;0,$I$27/D$30,I5)</f>
        <v>0</v>
      </c>
      <c r="N5" s="334"/>
      <c r="O5" s="334"/>
      <c r="P5" s="334"/>
    </row>
    <row r="6" spans="1:16" x14ac:dyDescent="0.25">
      <c r="A6" s="344" t="s">
        <v>19</v>
      </c>
      <c r="B6" s="349">
        <f t="shared" si="0"/>
        <v>0</v>
      </c>
      <c r="C6" s="346">
        <f t="shared" si="1"/>
        <v>0</v>
      </c>
      <c r="D6" s="347"/>
      <c r="E6" s="461"/>
      <c r="F6" s="334"/>
      <c r="G6" s="334" t="s">
        <v>144</v>
      </c>
      <c r="H6" s="462">
        <f t="shared" si="2"/>
        <v>0</v>
      </c>
      <c r="I6" s="462"/>
      <c r="J6" s="463">
        <f t="shared" si="3"/>
        <v>0</v>
      </c>
      <c r="N6" s="334"/>
      <c r="O6" s="334"/>
      <c r="P6" s="334"/>
    </row>
    <row r="7" spans="1:16" x14ac:dyDescent="0.25">
      <c r="A7" s="344" t="s">
        <v>20</v>
      </c>
      <c r="B7" s="349">
        <f t="shared" si="0"/>
        <v>4828.8516390472523</v>
      </c>
      <c r="C7" s="346">
        <f t="shared" si="1"/>
        <v>4828.8516390472523</v>
      </c>
      <c r="D7" s="347">
        <f>E44</f>
        <v>0</v>
      </c>
      <c r="E7" s="461"/>
      <c r="F7" s="334"/>
      <c r="G7" s="334" t="s">
        <v>20</v>
      </c>
      <c r="H7" s="462">
        <f>I7+J7</f>
        <v>4828.8516390472523</v>
      </c>
      <c r="I7" s="462">
        <f>'ANNEXE 1 Grille'!B5*($D$32*74/100)</f>
        <v>3950.5613420752561</v>
      </c>
      <c r="J7" s="463">
        <f t="shared" si="3"/>
        <v>878.29029697199576</v>
      </c>
      <c r="N7" s="334"/>
      <c r="O7" s="334"/>
      <c r="P7" s="334"/>
    </row>
    <row r="8" spans="1:16" x14ac:dyDescent="0.25">
      <c r="A8" s="344" t="s">
        <v>21</v>
      </c>
      <c r="B8" s="349">
        <f t="shared" si="0"/>
        <v>2790.8206339616759</v>
      </c>
      <c r="C8" s="346">
        <f t="shared" si="1"/>
        <v>2790.8206339616759</v>
      </c>
      <c r="D8" s="347">
        <f>H44</f>
        <v>0</v>
      </c>
      <c r="E8" s="461"/>
      <c r="F8" s="334"/>
      <c r="G8" s="334" t="s">
        <v>21</v>
      </c>
      <c r="H8" s="462">
        <f t="shared" si="2"/>
        <v>2790.8206339616759</v>
      </c>
      <c r="I8" s="462">
        <f>'ANNEXE 1 Grille'!B6*($D$32*74/100)</f>
        <v>1912.5303369896801</v>
      </c>
      <c r="J8" s="463">
        <f t="shared" si="3"/>
        <v>878.29029697199576</v>
      </c>
      <c r="N8" s="334"/>
      <c r="O8" s="334"/>
      <c r="P8" s="334"/>
    </row>
    <row r="9" spans="1:16" x14ac:dyDescent="0.25">
      <c r="A9" s="344" t="s">
        <v>22</v>
      </c>
      <c r="B9" s="349">
        <f t="shared" si="0"/>
        <v>0</v>
      </c>
      <c r="C9" s="346">
        <f t="shared" si="1"/>
        <v>0</v>
      </c>
      <c r="D9" s="347"/>
      <c r="E9" s="461"/>
      <c r="F9" s="334"/>
      <c r="G9" s="334" t="s">
        <v>22</v>
      </c>
      <c r="H9" s="462">
        <f t="shared" si="2"/>
        <v>0</v>
      </c>
      <c r="I9" s="462"/>
      <c r="J9" s="463">
        <f t="shared" si="3"/>
        <v>0</v>
      </c>
      <c r="N9" s="334"/>
      <c r="O9" s="334"/>
      <c r="P9" s="334"/>
    </row>
    <row r="10" spans="1:16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/>
      <c r="E10" s="461"/>
      <c r="F10" s="334"/>
      <c r="G10" s="334" t="s">
        <v>23</v>
      </c>
      <c r="H10" s="462">
        <f t="shared" si="2"/>
        <v>0</v>
      </c>
      <c r="I10" s="462"/>
      <c r="J10" s="463">
        <f t="shared" si="3"/>
        <v>0</v>
      </c>
      <c r="N10" s="334"/>
      <c r="O10" s="334"/>
      <c r="P10" s="334"/>
    </row>
    <row r="11" spans="1:16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/>
      <c r="E11" s="461"/>
      <c r="F11" s="334"/>
      <c r="G11" s="334" t="s">
        <v>24</v>
      </c>
      <c r="H11" s="462">
        <f t="shared" si="2"/>
        <v>0</v>
      </c>
      <c r="I11" s="462"/>
      <c r="J11" s="463">
        <f t="shared" si="3"/>
        <v>0</v>
      </c>
      <c r="N11" s="334"/>
      <c r="O11" s="334"/>
      <c r="P11" s="334"/>
    </row>
    <row r="12" spans="1:16" x14ac:dyDescent="0.25">
      <c r="A12" s="344" t="s">
        <v>25</v>
      </c>
      <c r="B12" s="349">
        <f t="shared" si="0"/>
        <v>4610.9029823606852</v>
      </c>
      <c r="C12" s="346">
        <f t="shared" si="1"/>
        <v>4610.9029823606852</v>
      </c>
      <c r="D12" s="347">
        <f>F44</f>
        <v>0</v>
      </c>
      <c r="E12" s="461"/>
      <c r="F12" s="334"/>
      <c r="G12" s="334" t="s">
        <v>25</v>
      </c>
      <c r="H12" s="462">
        <f t="shared" si="2"/>
        <v>4610.9029823606852</v>
      </c>
      <c r="I12" s="462">
        <f>'ANNEXE 1 Grille'!B10*($D$32*74/100)</f>
        <v>3732.612685388689</v>
      </c>
      <c r="J12" s="463">
        <f t="shared" si="3"/>
        <v>878.29029697199576</v>
      </c>
      <c r="N12" s="334"/>
      <c r="O12" s="334"/>
      <c r="P12" s="334"/>
    </row>
    <row r="13" spans="1:16" x14ac:dyDescent="0.25">
      <c r="A13" s="344" t="s">
        <v>26</v>
      </c>
      <c r="B13" s="349">
        <f t="shared" si="0"/>
        <v>2832.6310760725637</v>
      </c>
      <c r="C13" s="346">
        <f t="shared" si="1"/>
        <v>2832.6310760725637</v>
      </c>
      <c r="D13" s="347">
        <f>G44</f>
        <v>0</v>
      </c>
      <c r="E13" s="461"/>
      <c r="F13" s="334"/>
      <c r="G13" s="334" t="s">
        <v>26</v>
      </c>
      <c r="H13" s="462">
        <f t="shared" si="2"/>
        <v>2832.6310760725637</v>
      </c>
      <c r="I13" s="462">
        <f>'ANNEXE 1 Grille'!B11*($D$32*74/100)</f>
        <v>1954.3407791005679</v>
      </c>
      <c r="J13" s="463">
        <f t="shared" si="3"/>
        <v>878.29029697199576</v>
      </c>
      <c r="N13" s="334"/>
      <c r="O13" s="334"/>
      <c r="P13" s="334"/>
    </row>
    <row r="14" spans="1:16" x14ac:dyDescent="0.25">
      <c r="A14" s="344" t="s">
        <v>27</v>
      </c>
      <c r="B14" s="349">
        <f t="shared" si="0"/>
        <v>2573.075363044346</v>
      </c>
      <c r="C14" s="346">
        <f t="shared" si="1"/>
        <v>2573.075363044346</v>
      </c>
      <c r="D14" s="347">
        <f>J44</f>
        <v>0</v>
      </c>
      <c r="E14" s="461"/>
      <c r="F14" s="334"/>
      <c r="G14" s="334" t="s">
        <v>27</v>
      </c>
      <c r="H14" s="462">
        <f t="shared" si="2"/>
        <v>2573.075363044346</v>
      </c>
      <c r="I14" s="462">
        <f>'ANNEXE 1 Grille'!B12*($D$32*74/100)</f>
        <v>1694.7850660723504</v>
      </c>
      <c r="J14" s="463">
        <f t="shared" si="3"/>
        <v>878.29029697199576</v>
      </c>
      <c r="N14" s="334"/>
      <c r="O14" s="334"/>
      <c r="P14" s="334"/>
    </row>
    <row r="15" spans="1:16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/>
      <c r="E15" s="461"/>
      <c r="F15" s="334"/>
      <c r="G15" s="334" t="s">
        <v>28</v>
      </c>
      <c r="H15" s="462">
        <f t="shared" si="2"/>
        <v>0</v>
      </c>
      <c r="I15" s="462"/>
      <c r="J15" s="463">
        <f t="shared" si="3"/>
        <v>0</v>
      </c>
      <c r="N15" s="334"/>
      <c r="O15" s="334"/>
      <c r="P15" s="334"/>
    </row>
    <row r="16" spans="1:16" x14ac:dyDescent="0.25">
      <c r="A16" s="344" t="s">
        <v>29</v>
      </c>
      <c r="B16" s="349">
        <f t="shared" si="0"/>
        <v>0</v>
      </c>
      <c r="C16" s="346">
        <f t="shared" si="1"/>
        <v>0</v>
      </c>
      <c r="D16" s="347"/>
      <c r="E16" s="461"/>
      <c r="F16" s="334"/>
      <c r="G16" s="334" t="s">
        <v>29</v>
      </c>
      <c r="H16" s="462">
        <f t="shared" si="2"/>
        <v>0</v>
      </c>
      <c r="I16" s="462"/>
      <c r="J16" s="463">
        <f t="shared" si="3"/>
        <v>0</v>
      </c>
      <c r="N16" s="334"/>
      <c r="O16" s="334"/>
      <c r="P16" s="334"/>
    </row>
    <row r="17" spans="1:16" x14ac:dyDescent="0.25">
      <c r="A17" s="344" t="s">
        <v>30</v>
      </c>
      <c r="B17" s="349">
        <f t="shared" si="0"/>
        <v>3014.3718212441704</v>
      </c>
      <c r="C17" s="346">
        <f t="shared" si="1"/>
        <v>3014.3718212441704</v>
      </c>
      <c r="D17" s="347">
        <f>L44</f>
        <v>0</v>
      </c>
      <c r="E17" s="461"/>
      <c r="F17" s="334"/>
      <c r="G17" s="334" t="s">
        <v>30</v>
      </c>
      <c r="H17" s="462">
        <f t="shared" si="2"/>
        <v>3014.3718212441704</v>
      </c>
      <c r="I17" s="462">
        <f>'ANNEXE 1 Grille'!B15*($D$32*74/100)</f>
        <v>2136.0815242721746</v>
      </c>
      <c r="J17" s="463">
        <f t="shared" si="3"/>
        <v>878.29029697199576</v>
      </c>
      <c r="N17" s="334"/>
      <c r="O17" s="334"/>
      <c r="P17" s="334"/>
    </row>
    <row r="18" spans="1:16" x14ac:dyDescent="0.25">
      <c r="A18" s="344" t="s">
        <v>31</v>
      </c>
      <c r="B18" s="349">
        <f t="shared" si="0"/>
        <v>0</v>
      </c>
      <c r="C18" s="346">
        <f t="shared" si="1"/>
        <v>0</v>
      </c>
      <c r="D18" s="347"/>
      <c r="E18" s="461"/>
      <c r="F18" s="334"/>
      <c r="G18" s="334" t="s">
        <v>31</v>
      </c>
      <c r="H18" s="462">
        <f t="shared" si="2"/>
        <v>0</v>
      </c>
      <c r="I18" s="462"/>
      <c r="J18" s="463">
        <f t="shared" si="3"/>
        <v>0</v>
      </c>
      <c r="N18" s="334"/>
      <c r="O18" s="334"/>
      <c r="P18" s="334"/>
    </row>
    <row r="19" spans="1:16" x14ac:dyDescent="0.25">
      <c r="A19" s="344" t="s">
        <v>32</v>
      </c>
      <c r="B19" s="349">
        <f t="shared" si="0"/>
        <v>0</v>
      </c>
      <c r="C19" s="346">
        <f t="shared" si="1"/>
        <v>0</v>
      </c>
      <c r="D19" s="347"/>
      <c r="E19" s="461"/>
      <c r="F19" s="334"/>
      <c r="G19" s="334" t="s">
        <v>32</v>
      </c>
      <c r="H19" s="462">
        <f t="shared" si="2"/>
        <v>0</v>
      </c>
      <c r="I19" s="462"/>
      <c r="J19" s="463">
        <f t="shared" si="3"/>
        <v>0</v>
      </c>
      <c r="N19" s="334"/>
      <c r="O19" s="334"/>
      <c r="P19" s="334"/>
    </row>
    <row r="20" spans="1:16" x14ac:dyDescent="0.25">
      <c r="A20" s="344" t="s">
        <v>33</v>
      </c>
      <c r="B20" s="349">
        <f t="shared" si="0"/>
        <v>0</v>
      </c>
      <c r="C20" s="346">
        <f t="shared" si="1"/>
        <v>0</v>
      </c>
      <c r="D20" s="347"/>
      <c r="E20" s="461"/>
      <c r="F20" s="334"/>
      <c r="G20" s="334" t="s">
        <v>33</v>
      </c>
      <c r="H20" s="462">
        <f t="shared" si="2"/>
        <v>0</v>
      </c>
      <c r="I20" s="462"/>
      <c r="J20" s="463">
        <f t="shared" si="3"/>
        <v>0</v>
      </c>
      <c r="N20" s="334"/>
      <c r="O20" s="334"/>
      <c r="P20" s="334"/>
    </row>
    <row r="21" spans="1:16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/>
      <c r="E21" s="461"/>
      <c r="F21" s="334"/>
      <c r="G21" s="334" t="s">
        <v>34</v>
      </c>
      <c r="H21" s="462">
        <f t="shared" si="2"/>
        <v>0</v>
      </c>
      <c r="I21" s="462"/>
      <c r="J21" s="463">
        <f t="shared" si="3"/>
        <v>0</v>
      </c>
      <c r="N21" s="334"/>
      <c r="O21" s="334"/>
      <c r="P21" s="334"/>
    </row>
    <row r="22" spans="1:16" x14ac:dyDescent="0.25">
      <c r="A22" s="344" t="s">
        <v>35</v>
      </c>
      <c r="B22" s="349">
        <f t="shared" si="0"/>
        <v>3709.6997902942767</v>
      </c>
      <c r="C22" s="346">
        <f t="shared" si="1"/>
        <v>3709.6997902942767</v>
      </c>
      <c r="D22" s="347">
        <f>K44</f>
        <v>0</v>
      </c>
      <c r="E22" s="461"/>
      <c r="F22" s="334"/>
      <c r="G22" s="334" t="s">
        <v>35</v>
      </c>
      <c r="H22" s="462">
        <f t="shared" si="2"/>
        <v>3709.6997902942767</v>
      </c>
      <c r="I22" s="462">
        <f>'ANNEXE 1 Grille'!B20*($D$32*74/100)</f>
        <v>2831.4094933222809</v>
      </c>
      <c r="J22" s="463">
        <f t="shared" si="3"/>
        <v>878.29029697199576</v>
      </c>
      <c r="N22" s="334"/>
      <c r="O22" s="334"/>
      <c r="P22" s="334"/>
    </row>
    <row r="23" spans="1:16" x14ac:dyDescent="0.25">
      <c r="A23" s="344" t="s">
        <v>36</v>
      </c>
      <c r="B23" s="349">
        <f t="shared" si="0"/>
        <v>0</v>
      </c>
      <c r="C23" s="346"/>
      <c r="D23" s="347"/>
      <c r="E23" s="461"/>
      <c r="F23" s="334"/>
      <c r="G23" s="334" t="s">
        <v>36</v>
      </c>
      <c r="H23" s="462">
        <f t="shared" si="2"/>
        <v>0</v>
      </c>
      <c r="I23" s="462"/>
      <c r="J23" s="463">
        <f t="shared" si="3"/>
        <v>0</v>
      </c>
      <c r="N23" s="334"/>
      <c r="O23" s="334"/>
      <c r="P23" s="334"/>
    </row>
    <row r="24" spans="1:16" x14ac:dyDescent="0.25">
      <c r="A24" s="344" t="s">
        <v>38</v>
      </c>
      <c r="B24" s="349">
        <f t="shared" si="0"/>
        <v>0</v>
      </c>
      <c r="C24" s="346"/>
      <c r="D24" s="347"/>
      <c r="E24" s="461"/>
      <c r="F24" s="334"/>
      <c r="G24" s="334" t="s">
        <v>38</v>
      </c>
      <c r="H24" s="462">
        <f t="shared" si="2"/>
        <v>0</v>
      </c>
      <c r="I24" s="462"/>
      <c r="J24" s="463">
        <f t="shared" si="3"/>
        <v>0</v>
      </c>
      <c r="N24" s="334"/>
      <c r="O24" s="334"/>
      <c r="P24" s="334"/>
    </row>
    <row r="25" spans="1:16" x14ac:dyDescent="0.25">
      <c r="A25" s="344" t="s">
        <v>4</v>
      </c>
      <c r="B25" s="349">
        <f t="shared" si="0"/>
        <v>9253.5671075636637</v>
      </c>
      <c r="C25" s="346">
        <f>D32*26/100</f>
        <v>9253.5671075636637</v>
      </c>
      <c r="D25" s="464"/>
      <c r="E25" s="461"/>
      <c r="F25" s="334"/>
      <c r="G25" s="334"/>
      <c r="I25" s="462"/>
      <c r="N25" s="334"/>
      <c r="O25" s="334"/>
      <c r="P25" s="334"/>
    </row>
    <row r="26" spans="1:16" x14ac:dyDescent="0.25">
      <c r="A26" s="344"/>
      <c r="B26" s="349"/>
      <c r="C26" s="346"/>
      <c r="D26" s="464"/>
      <c r="E26" s="465"/>
      <c r="F26" s="334"/>
      <c r="G26" s="334"/>
      <c r="N26" s="334"/>
      <c r="O26" s="334"/>
      <c r="P26" s="334"/>
    </row>
    <row r="27" spans="1:16" s="373" customFormat="1" ht="30" x14ac:dyDescent="0.25">
      <c r="A27" s="364" t="s">
        <v>49</v>
      </c>
      <c r="B27" s="466">
        <f>C27+D27</f>
        <v>35590.642721398704</v>
      </c>
      <c r="C27" s="368">
        <f>SUM(C4:C25)</f>
        <v>35590.642721398704</v>
      </c>
      <c r="D27" s="368">
        <f>D4+D7+D8+D12+D13+D14+D22</f>
        <v>0</v>
      </c>
      <c r="E27" s="467"/>
      <c r="G27" s="373" t="s">
        <v>49</v>
      </c>
      <c r="H27" s="463">
        <f>SUM(H4:H26)</f>
        <v>26337.075613835041</v>
      </c>
      <c r="I27" s="463">
        <f>D32*74/100-SUM(I4:I24)</f>
        <v>7026.3223757759661</v>
      </c>
      <c r="J27" s="463">
        <f>SUM(J4:J25)</f>
        <v>7026.3223757759679</v>
      </c>
    </row>
    <row r="28" spans="1:16" ht="30" x14ac:dyDescent="0.25">
      <c r="A28" s="383" t="s">
        <v>50</v>
      </c>
      <c r="B28" s="377">
        <f>SUM(B4:B25)</f>
        <v>35590.642721398704</v>
      </c>
      <c r="C28" s="349">
        <f>SUM(C4:C25)</f>
        <v>35590.642721398704</v>
      </c>
      <c r="D28" s="349">
        <f>SUM(D4:D25)</f>
        <v>0</v>
      </c>
      <c r="E28" s="378"/>
      <c r="F28" s="334"/>
      <c r="G28" s="468" t="s">
        <v>39</v>
      </c>
      <c r="H28" s="462">
        <f>D32*74/100-H27</f>
        <v>0</v>
      </c>
      <c r="N28" s="334"/>
      <c r="O28" s="334"/>
      <c r="P28" s="334"/>
    </row>
    <row r="29" spans="1:16" s="471" customFormat="1" ht="12" x14ac:dyDescent="0.2">
      <c r="A29" s="369" t="s">
        <v>39</v>
      </c>
      <c r="B29" s="469">
        <f>SUM(B4:B25)-D32</f>
        <v>0</v>
      </c>
      <c r="C29" s="469"/>
      <c r="D29" s="469"/>
      <c r="E29" s="470"/>
      <c r="F29" s="470"/>
      <c r="G29" s="470"/>
      <c r="H29" s="470"/>
    </row>
    <row r="30" spans="1:16" x14ac:dyDescent="0.25">
      <c r="B30" s="775" t="s">
        <v>254</v>
      </c>
      <c r="C30" s="775"/>
      <c r="D30" s="382">
        <f>SUBTOTAL(3,I4:I24)</f>
        <v>8</v>
      </c>
      <c r="E30" s="334"/>
      <c r="F30" s="334"/>
      <c r="G30" s="334"/>
      <c r="N30" s="334"/>
      <c r="O30" s="334"/>
      <c r="P30" s="334"/>
    </row>
    <row r="31" spans="1:16" ht="45" x14ac:dyDescent="0.25">
      <c r="B31" s="472" t="s">
        <v>208</v>
      </c>
      <c r="C31" s="473"/>
      <c r="D31" s="474"/>
      <c r="E31" s="334"/>
      <c r="F31" s="334"/>
      <c r="G31" s="334"/>
      <c r="N31" s="334"/>
      <c r="O31" s="334"/>
      <c r="P31" s="334"/>
    </row>
    <row r="32" spans="1:16" ht="17.25" x14ac:dyDescent="0.25">
      <c r="B32" s="475" t="s">
        <v>439</v>
      </c>
      <c r="C32" s="476"/>
      <c r="D32" s="477">
        <f>D34*D36-781</f>
        <v>35590.642721398704</v>
      </c>
      <c r="E32" s="478"/>
      <c r="F32" s="385" t="s">
        <v>440</v>
      </c>
      <c r="G32" s="334"/>
      <c r="N32" s="334"/>
      <c r="O32" s="334"/>
      <c r="P32" s="334"/>
    </row>
    <row r="33" spans="1:18" x14ac:dyDescent="0.25">
      <c r="B33" s="475" t="s">
        <v>435</v>
      </c>
      <c r="C33" s="476"/>
      <c r="D33" s="477">
        <f>D35*D36</f>
        <v>43645.971265678447</v>
      </c>
      <c r="E33" s="334"/>
      <c r="F33" s="334"/>
      <c r="G33" s="334"/>
      <c r="N33" s="334"/>
      <c r="O33" s="334"/>
      <c r="P33" s="334"/>
    </row>
    <row r="34" spans="1:18" x14ac:dyDescent="0.25">
      <c r="B34" s="475" t="s">
        <v>210</v>
      </c>
      <c r="C34" s="476"/>
      <c r="D34" s="477">
        <v>34912</v>
      </c>
      <c r="E34" s="334"/>
      <c r="F34" s="334"/>
      <c r="G34" s="334"/>
      <c r="N34" s="334"/>
      <c r="O34" s="334"/>
      <c r="P34" s="334"/>
    </row>
    <row r="35" spans="1:18" x14ac:dyDescent="0.25">
      <c r="B35" s="475" t="s">
        <v>211</v>
      </c>
      <c r="C35" s="476"/>
      <c r="D35" s="477">
        <f>D34*1.2</f>
        <v>41894.400000000001</v>
      </c>
      <c r="E35" s="334"/>
      <c r="F35" s="334"/>
      <c r="G35" s="334"/>
      <c r="N35" s="334"/>
      <c r="O35" s="334"/>
      <c r="P35" s="334"/>
    </row>
    <row r="36" spans="1:18" ht="30" x14ac:dyDescent="0.25">
      <c r="B36" s="475" t="s">
        <v>436</v>
      </c>
      <c r="C36" s="476"/>
      <c r="D36" s="387">
        <f>2741/2631</f>
        <v>1.0418091980235651</v>
      </c>
      <c r="E36" s="334"/>
      <c r="F36" s="334"/>
      <c r="G36" s="334"/>
      <c r="N36" s="334"/>
      <c r="O36" s="334"/>
      <c r="P36" s="334"/>
    </row>
    <row r="37" spans="1:18" x14ac:dyDescent="0.25">
      <c r="B37" s="424"/>
      <c r="C37" s="424"/>
      <c r="D37" s="334"/>
      <c r="E37" s="334"/>
      <c r="F37" s="479"/>
      <c r="G37" s="334"/>
      <c r="N37" s="334"/>
      <c r="O37" s="334"/>
      <c r="P37" s="334"/>
    </row>
    <row r="38" spans="1:18" x14ac:dyDescent="0.25">
      <c r="B38" s="767" t="s">
        <v>212</v>
      </c>
      <c r="C38" s="767"/>
      <c r="D38" s="767"/>
      <c r="E38" s="334"/>
      <c r="F38" s="334"/>
      <c r="G38" s="334"/>
      <c r="N38" s="334"/>
      <c r="O38" s="334"/>
      <c r="P38" s="334"/>
    </row>
    <row r="39" spans="1:18" x14ac:dyDescent="0.25">
      <c r="B39" s="480" t="s">
        <v>257</v>
      </c>
      <c r="C39" s="481"/>
      <c r="D39" s="482">
        <v>6000</v>
      </c>
      <c r="E39" s="334"/>
      <c r="F39" s="334"/>
      <c r="G39" s="483"/>
      <c r="H39" s="340"/>
      <c r="N39" s="334"/>
      <c r="O39" s="334"/>
      <c r="P39" s="334"/>
    </row>
    <row r="40" spans="1:18" x14ac:dyDescent="0.25">
      <c r="B40" s="480" t="s">
        <v>258</v>
      </c>
      <c r="C40" s="481"/>
      <c r="D40" s="484"/>
      <c r="E40" s="334"/>
      <c r="F40" s="334"/>
      <c r="G40" s="485"/>
      <c r="H40" s="486"/>
      <c r="N40" s="334"/>
      <c r="O40" s="334"/>
      <c r="P40" s="334"/>
    </row>
    <row r="41" spans="1:18" x14ac:dyDescent="0.25">
      <c r="B41" s="353"/>
      <c r="C41" s="486"/>
      <c r="D41" s="487"/>
      <c r="E41" s="487"/>
      <c r="F41" s="487"/>
      <c r="G41" s="485"/>
      <c r="H41" s="486"/>
      <c r="N41" s="334"/>
      <c r="O41" s="334"/>
      <c r="P41" s="334"/>
    </row>
    <row r="42" spans="1:18" x14ac:dyDescent="0.25">
      <c r="A42" s="389" t="s">
        <v>259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N42" s="334"/>
      <c r="O42" s="334"/>
      <c r="P42" s="334"/>
      <c r="R42" s="486"/>
    </row>
    <row r="43" spans="1:18" ht="30" x14ac:dyDescent="0.25">
      <c r="A43" s="772">
        <v>2019</v>
      </c>
      <c r="B43" s="772"/>
      <c r="C43" s="772"/>
      <c r="D43" s="488" t="s">
        <v>78</v>
      </c>
      <c r="E43" s="489" t="s">
        <v>20</v>
      </c>
      <c r="F43" s="489" t="s">
        <v>25</v>
      </c>
      <c r="G43" s="489" t="s">
        <v>26</v>
      </c>
      <c r="H43" s="489" t="s">
        <v>21</v>
      </c>
      <c r="I43" s="413" t="s">
        <v>17</v>
      </c>
      <c r="J43" s="413" t="s">
        <v>27</v>
      </c>
      <c r="K43" s="413" t="s">
        <v>26</v>
      </c>
      <c r="L43" s="413" t="s">
        <v>30</v>
      </c>
      <c r="N43" s="334"/>
      <c r="O43" s="334"/>
      <c r="P43" s="334"/>
      <c r="R43" s="486"/>
    </row>
    <row r="44" spans="1:18" x14ac:dyDescent="0.25">
      <c r="A44" s="747" t="s">
        <v>215</v>
      </c>
      <c r="B44" s="747"/>
      <c r="C44" s="747"/>
      <c r="D44" s="490">
        <f>SUM(E44:L44)</f>
        <v>0</v>
      </c>
      <c r="E44" s="491">
        <f>SUM(E45:E46)</f>
        <v>0</v>
      </c>
      <c r="F44" s="491">
        <f>SUM(F45:F46)</f>
        <v>0</v>
      </c>
      <c r="G44" s="491">
        <f>SUM(G45:G46)</f>
        <v>0</v>
      </c>
      <c r="H44" s="491">
        <f>SUM(H45:H46)</f>
        <v>0</v>
      </c>
      <c r="I44" s="400">
        <f>I45+I46</f>
        <v>0</v>
      </c>
      <c r="J44" s="400">
        <f>SUM(J45:J46)</f>
        <v>0</v>
      </c>
      <c r="K44" s="400">
        <v>0</v>
      </c>
      <c r="L44" s="400">
        <f>L46</f>
        <v>0</v>
      </c>
      <c r="M44" s="486"/>
      <c r="N44" s="487"/>
      <c r="O44" s="487"/>
      <c r="P44" s="487"/>
    </row>
    <row r="45" spans="1:18" hidden="1" x14ac:dyDescent="0.25">
      <c r="A45" s="747" t="s">
        <v>376</v>
      </c>
      <c r="B45" s="747"/>
      <c r="C45" s="747"/>
      <c r="D45" s="418"/>
      <c r="E45" s="401"/>
      <c r="F45" s="401"/>
      <c r="G45" s="401"/>
      <c r="H45" s="401"/>
      <c r="I45" s="401"/>
      <c r="J45" s="401"/>
      <c r="K45" s="401"/>
      <c r="L45" s="401"/>
      <c r="M45" s="486"/>
      <c r="N45" s="487"/>
      <c r="O45" s="487"/>
      <c r="P45" s="487"/>
    </row>
    <row r="46" spans="1:18" x14ac:dyDescent="0.25">
      <c r="A46" s="747" t="s">
        <v>398</v>
      </c>
      <c r="B46" s="747"/>
      <c r="C46" s="747"/>
      <c r="D46" s="418">
        <f>E62</f>
        <v>0</v>
      </c>
      <c r="E46" s="418">
        <f t="shared" ref="E46:K46" si="4">F62</f>
        <v>0</v>
      </c>
      <c r="F46" s="418">
        <f t="shared" si="4"/>
        <v>0</v>
      </c>
      <c r="G46" s="418">
        <f t="shared" si="4"/>
        <v>0</v>
      </c>
      <c r="H46" s="418">
        <f t="shared" si="4"/>
        <v>0</v>
      </c>
      <c r="I46" s="418">
        <f t="shared" si="4"/>
        <v>0</v>
      </c>
      <c r="J46" s="418">
        <f t="shared" si="4"/>
        <v>0</v>
      </c>
      <c r="K46" s="418">
        <f t="shared" si="4"/>
        <v>0</v>
      </c>
      <c r="L46" s="418"/>
      <c r="N46" s="334"/>
      <c r="O46" s="334"/>
      <c r="P46" s="334"/>
    </row>
    <row r="47" spans="1:18" x14ac:dyDescent="0.25">
      <c r="A47" s="404"/>
      <c r="B47" s="405"/>
      <c r="C47" s="406"/>
      <c r="D47" s="492">
        <f>SUM(D45:D46)</f>
        <v>0</v>
      </c>
      <c r="E47" s="493"/>
      <c r="F47" s="493"/>
      <c r="G47" s="493"/>
      <c r="H47" s="493"/>
      <c r="I47" s="406"/>
      <c r="J47" s="406"/>
      <c r="N47" s="334"/>
      <c r="O47" s="334"/>
      <c r="P47" s="334"/>
    </row>
    <row r="48" spans="1:18" x14ac:dyDescent="0.25">
      <c r="A48" s="404"/>
      <c r="B48" s="405"/>
      <c r="C48" s="406"/>
      <c r="D48" s="493"/>
      <c r="E48" s="493"/>
      <c r="F48" s="493"/>
      <c r="G48" s="493"/>
      <c r="H48" s="406"/>
      <c r="I48" s="406"/>
      <c r="J48" s="406"/>
      <c r="N48" s="334"/>
      <c r="O48" s="334"/>
      <c r="P48" s="334"/>
    </row>
    <row r="49" spans="1:17" x14ac:dyDescent="0.25">
      <c r="A49" s="409" t="s">
        <v>263</v>
      </c>
      <c r="B49" s="409"/>
      <c r="C49" s="409"/>
      <c r="D49" s="390"/>
      <c r="E49" s="390"/>
      <c r="F49" s="390"/>
      <c r="G49" s="390"/>
      <c r="H49" s="390"/>
      <c r="I49" s="409"/>
      <c r="J49" s="409"/>
      <c r="K49" s="409"/>
      <c r="L49" s="390"/>
      <c r="N49" s="334"/>
      <c r="O49" s="334"/>
      <c r="P49" s="334"/>
    </row>
    <row r="50" spans="1:17" ht="39" x14ac:dyDescent="0.25">
      <c r="A50" s="429" t="s">
        <v>264</v>
      </c>
      <c r="B50" s="494" t="s">
        <v>219</v>
      </c>
      <c r="C50" s="494" t="s">
        <v>220</v>
      </c>
      <c r="D50" s="413" t="s">
        <v>78</v>
      </c>
      <c r="E50" s="489" t="s">
        <v>20</v>
      </c>
      <c r="F50" s="489" t="s">
        <v>25</v>
      </c>
      <c r="G50" s="489" t="s">
        <v>26</v>
      </c>
      <c r="H50" s="489" t="s">
        <v>21</v>
      </c>
      <c r="I50" s="413" t="s">
        <v>17</v>
      </c>
      <c r="J50" s="413" t="s">
        <v>27</v>
      </c>
      <c r="K50" s="413" t="s">
        <v>260</v>
      </c>
      <c r="L50" s="413" t="s">
        <v>30</v>
      </c>
      <c r="N50" s="334"/>
      <c r="O50" s="334"/>
      <c r="P50" s="334"/>
    </row>
    <row r="51" spans="1:17" ht="15" customHeight="1" x14ac:dyDescent="0.25">
      <c r="A51" s="429">
        <v>2019</v>
      </c>
      <c r="B51" s="770" t="s">
        <v>377</v>
      </c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N51" s="334"/>
      <c r="O51" s="334"/>
      <c r="P51" s="334"/>
    </row>
    <row r="52" spans="1:17" ht="15" customHeight="1" x14ac:dyDescent="0.25">
      <c r="A52" s="429">
        <v>2018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N52" s="334"/>
      <c r="O52" s="334"/>
      <c r="P52" s="334"/>
    </row>
    <row r="53" spans="1:17" x14ac:dyDescent="0.25">
      <c r="A53" s="429">
        <v>2017</v>
      </c>
      <c r="B53" s="495">
        <f>2570/2458</f>
        <v>1.0455655004068349</v>
      </c>
      <c r="C53" s="496">
        <f>B53*C56</f>
        <v>462.13995117982103</v>
      </c>
      <c r="D53" s="497">
        <f>SUM(E53:J53)</f>
        <v>5545.6794141578521</v>
      </c>
      <c r="E53" s="497">
        <f>11*$C53/6+$C53*$E$57</f>
        <v>847.2565771630052</v>
      </c>
      <c r="F53" s="497">
        <f>11*$C53/6+$C53*$F$57</f>
        <v>847.2565771630052</v>
      </c>
      <c r="G53" s="497">
        <f>11*$C53/6+$C53*$G$57</f>
        <v>847.2565771630052</v>
      </c>
      <c r="H53" s="497">
        <f>11*$C53/6+$C53*$H$57</f>
        <v>847.2565771630052</v>
      </c>
      <c r="I53" s="497">
        <f>11*$C53/6+$C53*$I$57</f>
        <v>847.2565771630052</v>
      </c>
      <c r="J53" s="497">
        <f>11*$C53/6+$C53*$J$57</f>
        <v>1309.3965283428263</v>
      </c>
      <c r="K53" s="497">
        <f>11*$C53/6+$C53*$I$57</f>
        <v>847.2565771630052</v>
      </c>
      <c r="L53" s="424"/>
      <c r="M53" s="424"/>
      <c r="O53" s="334"/>
      <c r="P53" s="334"/>
    </row>
    <row r="54" spans="1:17" x14ac:dyDescent="0.25">
      <c r="A54" s="415">
        <v>2016</v>
      </c>
      <c r="B54" s="416">
        <v>1.02685</v>
      </c>
      <c r="C54" s="498">
        <f>B54*C56</f>
        <v>453.86770000000001</v>
      </c>
      <c r="D54" s="499">
        <f>SUM(E54:J54)</f>
        <v>5446.4124000000011</v>
      </c>
      <c r="E54" s="499">
        <f>11*$C54/6+$C54*$E$57</f>
        <v>832.09078333333343</v>
      </c>
      <c r="F54" s="499">
        <f>11*$C54/6+$C54*$F$57</f>
        <v>832.09078333333343</v>
      </c>
      <c r="G54" s="499">
        <f>11*$C54/6+$C54*$G$57</f>
        <v>832.09078333333343</v>
      </c>
      <c r="H54" s="499">
        <f>11*$C54/6+$C54*$H$57</f>
        <v>832.09078333333343</v>
      </c>
      <c r="I54" s="499">
        <f>11*$C54/6+$C54*$I$57</f>
        <v>832.09078333333343</v>
      </c>
      <c r="J54" s="499">
        <f>11*$C54/6+$C54*$J$57</f>
        <v>1285.9584833333333</v>
      </c>
      <c r="K54" s="499">
        <f>11*$C54/6+$C54*$I$57</f>
        <v>832.09078333333343</v>
      </c>
      <c r="N54" s="334"/>
      <c r="O54" s="334"/>
      <c r="P54" s="334"/>
    </row>
    <row r="55" spans="1:17" x14ac:dyDescent="0.25">
      <c r="A55" s="415">
        <v>2015</v>
      </c>
      <c r="B55" s="420">
        <v>0.996</v>
      </c>
      <c r="C55" s="498">
        <f>B55*C56</f>
        <v>440.23199999999997</v>
      </c>
      <c r="D55" s="499">
        <f>SUM(E55:J55)</f>
        <v>5282.7839999999997</v>
      </c>
      <c r="E55" s="499">
        <f>11*$C55/6+$C55*$E$57</f>
        <v>807.09199999999998</v>
      </c>
      <c r="F55" s="499">
        <f>11*$C55/6+$C55*$F$57</f>
        <v>807.09199999999998</v>
      </c>
      <c r="G55" s="499">
        <f>11*$C55/6+$C55*$G$57</f>
        <v>807.09199999999998</v>
      </c>
      <c r="H55" s="499">
        <f>11*$C55/6+$C55*$H$57</f>
        <v>807.09199999999998</v>
      </c>
      <c r="I55" s="499">
        <f>11*$C55/6+$C55*$I$57</f>
        <v>807.09199999999998</v>
      </c>
      <c r="J55" s="499">
        <f>11*$C55/6+$C55*$J$57</f>
        <v>1247.3240000000001</v>
      </c>
      <c r="K55" s="499">
        <f>11*$C55/6+$C55*$I$57</f>
        <v>807.09199999999998</v>
      </c>
      <c r="N55" s="334"/>
      <c r="O55" s="334"/>
      <c r="P55" s="334"/>
    </row>
    <row r="56" spans="1:17" x14ac:dyDescent="0.25">
      <c r="A56" s="415">
        <v>2014</v>
      </c>
      <c r="B56" s="420" t="s">
        <v>155</v>
      </c>
      <c r="C56" s="498">
        <v>442</v>
      </c>
      <c r="D56" s="499">
        <f>SUM(E56:J56)</f>
        <v>5304</v>
      </c>
      <c r="E56" s="499">
        <f>11*$C56/6+$C56*$E$57</f>
        <v>810.33333333333337</v>
      </c>
      <c r="F56" s="499">
        <f>11*$C56/6+$C56*$F$57</f>
        <v>810.33333333333337</v>
      </c>
      <c r="G56" s="499">
        <f>11*$C56/6+$C56*$G$57</f>
        <v>810.33333333333337</v>
      </c>
      <c r="H56" s="499">
        <f>11*$C56/6+$C56*$H$57</f>
        <v>810.33333333333337</v>
      </c>
      <c r="I56" s="499">
        <f>11*$C56/6+$C56*$I$57</f>
        <v>810.33333333333337</v>
      </c>
      <c r="J56" s="499">
        <f>11*$C56/6+$C56*$J$57</f>
        <v>1252.3333333333335</v>
      </c>
      <c r="K56" s="499">
        <f>11*$C56/6+$C56*$I$57</f>
        <v>810.33333333333337</v>
      </c>
      <c r="N56" s="334"/>
      <c r="O56" s="334"/>
      <c r="P56" s="334"/>
    </row>
    <row r="57" spans="1:17" x14ac:dyDescent="0.25">
      <c r="A57" s="415" t="s">
        <v>223</v>
      </c>
      <c r="B57" s="420"/>
      <c r="C57" s="420" t="s">
        <v>265</v>
      </c>
      <c r="D57" s="421"/>
      <c r="E57" s="500">
        <v>0</v>
      </c>
      <c r="F57" s="500">
        <v>0</v>
      </c>
      <c r="G57" s="500">
        <v>0</v>
      </c>
      <c r="H57" s="500">
        <v>0</v>
      </c>
      <c r="I57" s="421">
        <v>0</v>
      </c>
      <c r="J57" s="421">
        <v>1</v>
      </c>
      <c r="K57" s="421">
        <v>0</v>
      </c>
      <c r="N57" s="334"/>
      <c r="O57" s="334"/>
      <c r="P57" s="334"/>
    </row>
    <row r="58" spans="1:17" x14ac:dyDescent="0.25">
      <c r="A58" s="422"/>
      <c r="B58" s="423"/>
      <c r="C58" s="423"/>
      <c r="D58" s="501"/>
      <c r="E58" s="388"/>
      <c r="F58" s="388"/>
      <c r="G58" s="388"/>
      <c r="H58" s="335"/>
      <c r="I58" s="335"/>
      <c r="J58" s="335"/>
      <c r="N58" s="334"/>
      <c r="O58" s="334"/>
      <c r="P58" s="334"/>
    </row>
    <row r="59" spans="1:17" x14ac:dyDescent="0.25">
      <c r="A59" s="427"/>
      <c r="B59" s="428"/>
      <c r="C59" s="427"/>
      <c r="D59" s="502"/>
      <c r="E59" s="502"/>
      <c r="F59" s="502"/>
      <c r="G59" s="503"/>
      <c r="H59" s="504"/>
      <c r="I59" s="335"/>
      <c r="J59" s="335"/>
      <c r="N59" s="334"/>
      <c r="O59" s="334"/>
      <c r="P59" s="334"/>
    </row>
    <row r="60" spans="1:17" x14ac:dyDescent="0.25">
      <c r="A60" s="389" t="s">
        <v>250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N60" s="334"/>
      <c r="O60" s="334"/>
      <c r="P60" s="334"/>
    </row>
    <row r="61" spans="1:17" ht="39" x14ac:dyDescent="0.25">
      <c r="A61" s="429" t="s">
        <v>264</v>
      </c>
      <c r="B61" s="429" t="s">
        <v>219</v>
      </c>
      <c r="C61" s="429" t="s">
        <v>220</v>
      </c>
      <c r="D61" s="413" t="s">
        <v>78</v>
      </c>
      <c r="E61" s="489" t="s">
        <v>20</v>
      </c>
      <c r="F61" s="489" t="s">
        <v>25</v>
      </c>
      <c r="G61" s="489" t="s">
        <v>26</v>
      </c>
      <c r="H61" s="489" t="s">
        <v>21</v>
      </c>
      <c r="I61" s="413" t="s">
        <v>17</v>
      </c>
      <c r="J61" s="413" t="s">
        <v>27</v>
      </c>
      <c r="K61" s="413" t="s">
        <v>260</v>
      </c>
      <c r="L61" s="413" t="s">
        <v>30</v>
      </c>
      <c r="N61" s="334"/>
      <c r="O61" s="334"/>
      <c r="P61" s="334"/>
    </row>
    <row r="62" spans="1:17" x14ac:dyDescent="0.25">
      <c r="A62" s="429">
        <v>2019</v>
      </c>
      <c r="B62" s="416">
        <f>D36</f>
        <v>1.0418091980235651</v>
      </c>
      <c r="C62" s="505">
        <f>C63*B62</f>
        <v>1229.3348536678068</v>
      </c>
      <c r="D62" s="497">
        <f t="shared" ref="D62:D63" si="5">SUM(E62:L62)</f>
        <v>0</v>
      </c>
      <c r="E62" s="506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0</v>
      </c>
      <c r="K62" s="507">
        <v>0</v>
      </c>
      <c r="L62" s="507">
        <v>0</v>
      </c>
      <c r="N62" s="334"/>
      <c r="O62" s="334"/>
      <c r="P62" s="334"/>
    </row>
    <row r="63" spans="1:17" x14ac:dyDescent="0.25">
      <c r="A63" s="429">
        <v>2018</v>
      </c>
      <c r="B63" s="429"/>
      <c r="C63" s="508">
        <v>1180</v>
      </c>
      <c r="D63" s="497">
        <f t="shared" si="5"/>
        <v>0</v>
      </c>
      <c r="E63" s="506">
        <v>0</v>
      </c>
      <c r="F63" s="506">
        <v>0</v>
      </c>
      <c r="G63" s="506">
        <v>0</v>
      </c>
      <c r="H63" s="506">
        <v>0</v>
      </c>
      <c r="I63" s="506">
        <v>0</v>
      </c>
      <c r="J63" s="506">
        <v>0</v>
      </c>
      <c r="K63" s="507">
        <v>0</v>
      </c>
      <c r="L63" s="507">
        <v>0</v>
      </c>
      <c r="N63" s="334"/>
      <c r="O63" s="334"/>
      <c r="P63" s="334"/>
    </row>
    <row r="64" spans="1:17" x14ac:dyDescent="0.25">
      <c r="A64" s="429">
        <v>2017</v>
      </c>
      <c r="B64" s="416">
        <f>2570/2458</f>
        <v>1.0455655004068349</v>
      </c>
      <c r="C64" s="418">
        <f>B64*C67</f>
        <v>1182.5345809601304</v>
      </c>
      <c r="D64" s="497">
        <f>SUM(E64:L64)</f>
        <v>1182.5345809601304</v>
      </c>
      <c r="E64" s="509">
        <v>0</v>
      </c>
      <c r="F64" s="509">
        <v>0</v>
      </c>
      <c r="G64" s="509">
        <v>0</v>
      </c>
      <c r="H64" s="509">
        <f>C64/2</f>
        <v>591.26729048006518</v>
      </c>
      <c r="I64" s="418">
        <f>C64/2</f>
        <v>591.26729048006518</v>
      </c>
      <c r="J64" s="418">
        <f>0</f>
        <v>0</v>
      </c>
      <c r="K64" s="507">
        <v>0</v>
      </c>
      <c r="L64" s="507">
        <v>0</v>
      </c>
      <c r="N64" s="334"/>
      <c r="Q64" s="424"/>
    </row>
    <row r="65" spans="1:17" x14ac:dyDescent="0.25">
      <c r="A65" s="415">
        <v>2016</v>
      </c>
      <c r="B65" s="416">
        <v>1.02685</v>
      </c>
      <c r="C65" s="418">
        <f>B65*C67</f>
        <v>1161.36735</v>
      </c>
      <c r="D65" s="497">
        <f t="shared" ref="D65:D67" si="6">SUM(E65:L65)</f>
        <v>1161.36735</v>
      </c>
      <c r="E65" s="509">
        <v>0</v>
      </c>
      <c r="F65" s="509">
        <v>0</v>
      </c>
      <c r="G65" s="509">
        <v>0</v>
      </c>
      <c r="H65" s="509">
        <f>C65/2</f>
        <v>580.68367499999999</v>
      </c>
      <c r="I65" s="418">
        <f>C65/2</f>
        <v>580.68367499999999</v>
      </c>
      <c r="J65" s="418">
        <f>0</f>
        <v>0</v>
      </c>
      <c r="K65" s="507">
        <v>0</v>
      </c>
      <c r="L65" s="507">
        <v>0</v>
      </c>
      <c r="N65" s="334"/>
      <c r="Q65" s="424"/>
    </row>
    <row r="66" spans="1:17" x14ac:dyDescent="0.25">
      <c r="A66" s="415">
        <v>2015</v>
      </c>
      <c r="B66" s="420">
        <v>0.996</v>
      </c>
      <c r="C66" s="418">
        <f>B66*C67</f>
        <v>1126.4759999999999</v>
      </c>
      <c r="D66" s="497">
        <f t="shared" si="6"/>
        <v>0</v>
      </c>
      <c r="E66" s="509">
        <v>0</v>
      </c>
      <c r="F66" s="509">
        <v>0</v>
      </c>
      <c r="G66" s="509">
        <v>0</v>
      </c>
      <c r="H66" s="509">
        <v>0</v>
      </c>
      <c r="I66" s="418">
        <v>0</v>
      </c>
      <c r="J66" s="418">
        <v>0</v>
      </c>
      <c r="K66" s="507">
        <v>0</v>
      </c>
      <c r="L66" s="507">
        <v>0</v>
      </c>
      <c r="N66" s="334"/>
      <c r="Q66" s="424"/>
    </row>
    <row r="67" spans="1:17" x14ac:dyDescent="0.25">
      <c r="A67" s="415">
        <v>2014</v>
      </c>
      <c r="B67" s="420" t="s">
        <v>155</v>
      </c>
      <c r="C67" s="418">
        <v>1131</v>
      </c>
      <c r="D67" s="497">
        <f t="shared" si="6"/>
        <v>0</v>
      </c>
      <c r="E67" s="509">
        <v>0</v>
      </c>
      <c r="F67" s="509">
        <v>0</v>
      </c>
      <c r="G67" s="509">
        <v>0</v>
      </c>
      <c r="H67" s="509">
        <v>0</v>
      </c>
      <c r="I67" s="418">
        <v>0</v>
      </c>
      <c r="J67" s="418">
        <v>0</v>
      </c>
      <c r="K67" s="507">
        <v>0</v>
      </c>
      <c r="L67" s="507">
        <v>0</v>
      </c>
      <c r="N67" s="334"/>
      <c r="Q67" s="424"/>
    </row>
    <row r="68" spans="1:17" x14ac:dyDescent="0.25">
      <c r="A68" s="422"/>
      <c r="B68" s="423"/>
      <c r="C68" s="423"/>
      <c r="D68" s="501"/>
      <c r="E68" s="388"/>
      <c r="F68" s="388"/>
      <c r="G68" s="388"/>
      <c r="H68" s="335"/>
      <c r="I68" s="335"/>
      <c r="J68" s="335"/>
    </row>
    <row r="69" spans="1:17" x14ac:dyDescent="0.25">
      <c r="A69" s="510" t="s">
        <v>267</v>
      </c>
      <c r="B69" s="510"/>
      <c r="C69" s="510"/>
      <c r="D69" s="510"/>
      <c r="E69" s="334"/>
      <c r="F69" s="388"/>
      <c r="G69" s="388"/>
      <c r="H69" s="335"/>
      <c r="I69" s="335"/>
      <c r="J69" s="335"/>
    </row>
    <row r="70" spans="1:17" x14ac:dyDescent="0.25">
      <c r="A70" s="410" t="s">
        <v>218</v>
      </c>
      <c r="B70" s="744" t="s">
        <v>25</v>
      </c>
      <c r="C70" s="744"/>
      <c r="D70" s="744"/>
      <c r="E70" s="744"/>
      <c r="F70" s="744"/>
      <c r="G70" s="388"/>
      <c r="H70" s="335"/>
      <c r="I70" s="335"/>
      <c r="J70" s="335"/>
    </row>
    <row r="71" spans="1:17" x14ac:dyDescent="0.25">
      <c r="A71" s="426" t="s">
        <v>227</v>
      </c>
      <c r="B71" s="771" t="s">
        <v>268</v>
      </c>
      <c r="C71" s="771"/>
      <c r="D71" s="771"/>
      <c r="E71" s="771"/>
      <c r="F71" s="771"/>
      <c r="G71" s="388"/>
      <c r="H71" s="335"/>
      <c r="I71" s="335"/>
      <c r="J71" s="335"/>
    </row>
    <row r="72" spans="1:17" x14ac:dyDescent="0.25">
      <c r="A72" s="426" t="s">
        <v>249</v>
      </c>
      <c r="B72" s="742">
        <v>1</v>
      </c>
      <c r="C72" s="742"/>
      <c r="D72" s="742"/>
      <c r="E72" s="742"/>
      <c r="F72" s="742"/>
      <c r="G72" s="388"/>
      <c r="H72" s="335"/>
      <c r="I72" s="335"/>
      <c r="J72" s="335"/>
    </row>
    <row r="76" spans="1:17" x14ac:dyDescent="0.25">
      <c r="A76" s="334" t="s">
        <v>269</v>
      </c>
    </row>
  </sheetData>
  <mergeCells count="13">
    <mergeCell ref="B38:D38"/>
    <mergeCell ref="A43:C43"/>
    <mergeCell ref="A44:C44"/>
    <mergeCell ref="A1:A3"/>
    <mergeCell ref="B1:D1"/>
    <mergeCell ref="B2:D2"/>
    <mergeCell ref="B30:C30"/>
    <mergeCell ref="B51:L52"/>
    <mergeCell ref="B72:F72"/>
    <mergeCell ref="B70:F70"/>
    <mergeCell ref="B71:F71"/>
    <mergeCell ref="A45:C45"/>
    <mergeCell ref="A46:C4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14"/>
  <sheetViews>
    <sheetView zoomScale="80" zoomScaleNormal="80" workbookViewId="0">
      <selection activeCell="D33" sqref="D33"/>
    </sheetView>
  </sheetViews>
  <sheetFormatPr baseColWidth="10" defaultColWidth="16.85546875" defaultRowHeight="15" x14ac:dyDescent="0.25"/>
  <cols>
    <col min="1" max="2" width="16.85546875" style="205"/>
    <col min="3" max="3" width="16.85546875" style="251"/>
    <col min="4" max="16384" width="16.85546875" style="205"/>
  </cols>
  <sheetData>
    <row r="1" spans="1:19" ht="15" customHeight="1" x14ac:dyDescent="0.25">
      <c r="A1" s="751" t="s">
        <v>52</v>
      </c>
      <c r="B1" s="787" t="s">
        <v>374</v>
      </c>
      <c r="C1" s="787"/>
      <c r="D1" s="787"/>
      <c r="F1" s="751" t="s">
        <v>52</v>
      </c>
      <c r="G1" s="773" t="s">
        <v>375</v>
      </c>
      <c r="H1" s="773"/>
      <c r="I1" s="773"/>
      <c r="J1" s="276"/>
      <c r="K1" s="547" t="s">
        <v>52</v>
      </c>
      <c r="L1" s="788" t="s">
        <v>378</v>
      </c>
      <c r="M1" s="789"/>
      <c r="N1" s="790"/>
      <c r="O1" s="277"/>
      <c r="P1" s="278" t="s">
        <v>52</v>
      </c>
      <c r="Q1" s="777" t="s">
        <v>379</v>
      </c>
      <c r="R1" s="778"/>
      <c r="S1" s="779"/>
    </row>
    <row r="2" spans="1:19" ht="15" customHeight="1" x14ac:dyDescent="0.25">
      <c r="A2" s="751"/>
      <c r="B2" s="774" t="s">
        <v>438</v>
      </c>
      <c r="C2" s="774"/>
      <c r="D2" s="774"/>
      <c r="F2" s="751"/>
      <c r="G2" s="774" t="s">
        <v>438</v>
      </c>
      <c r="H2" s="774"/>
      <c r="I2" s="774"/>
      <c r="K2" s="547"/>
      <c r="L2" s="548">
        <v>2020</v>
      </c>
      <c r="M2" s="549"/>
      <c r="N2" s="549"/>
      <c r="O2" s="249"/>
      <c r="P2" s="278"/>
      <c r="Q2" s="280">
        <v>2018</v>
      </c>
      <c r="R2" s="280"/>
      <c r="S2" s="280"/>
    </row>
    <row r="3" spans="1:19" ht="60" x14ac:dyDescent="0.25">
      <c r="A3" s="751"/>
      <c r="B3" s="458" t="s">
        <v>158</v>
      </c>
      <c r="C3" s="459" t="s">
        <v>205</v>
      </c>
      <c r="D3" s="459" t="s">
        <v>387</v>
      </c>
      <c r="F3" s="751"/>
      <c r="G3" s="458" t="s">
        <v>158</v>
      </c>
      <c r="H3" s="459" t="s">
        <v>205</v>
      </c>
      <c r="I3" s="459" t="s">
        <v>206</v>
      </c>
      <c r="K3" s="547"/>
      <c r="L3" s="548" t="s">
        <v>199</v>
      </c>
      <c r="M3" s="550" t="s">
        <v>200</v>
      </c>
      <c r="N3" s="551" t="s">
        <v>201</v>
      </c>
      <c r="O3" s="283"/>
      <c r="P3" s="284"/>
      <c r="Q3" s="279" t="s">
        <v>199</v>
      </c>
      <c r="R3" s="281" t="s">
        <v>200</v>
      </c>
      <c r="S3" s="282" t="s">
        <v>201</v>
      </c>
    </row>
    <row r="4" spans="1:19" x14ac:dyDescent="0.25">
      <c r="A4" s="344" t="s">
        <v>17</v>
      </c>
      <c r="B4" s="349">
        <f t="shared" ref="B4:B27" si="0">C4+D4</f>
        <v>3026.3456361314647</v>
      </c>
      <c r="C4" s="346">
        <f t="shared" ref="C4:C25" si="1">L4</f>
        <v>3026.3456361314647</v>
      </c>
      <c r="D4" s="347">
        <f>I46</f>
        <v>0</v>
      </c>
      <c r="E4" s="285"/>
      <c r="F4" s="344" t="s">
        <v>17</v>
      </c>
      <c r="G4" s="349">
        <f t="shared" ref="G4:G27" si="2">H4+I4</f>
        <v>812.86682710210425</v>
      </c>
      <c r="H4" s="346">
        <f t="shared" ref="H4:H25" si="3">Q4</f>
        <v>812.86682710210425</v>
      </c>
      <c r="I4" s="347"/>
      <c r="K4" s="552" t="s">
        <v>17</v>
      </c>
      <c r="L4" s="553">
        <f t="shared" ref="L4:L25" si="4">M4+N4</f>
        <v>3026.3456361314647</v>
      </c>
      <c r="M4" s="554">
        <f>'ANNEXE 1 Grille'!B2*(N$28-M$25)</f>
        <v>2416.8157444695162</v>
      </c>
      <c r="N4" s="555">
        <f>IF(M4&lt;&gt;0,M$28/C$31,M4)</f>
        <v>609.5298916619488</v>
      </c>
      <c r="P4" s="286" t="s">
        <v>17</v>
      </c>
      <c r="Q4" s="287">
        <f>R4+S4</f>
        <v>812.86682710210425</v>
      </c>
      <c r="R4" s="288">
        <f>'ANNEXE 1 Grille'!B2*(S$28-R$25)</f>
        <v>649.14903388517166</v>
      </c>
      <c r="S4" s="289">
        <f t="shared" ref="S4:S24" si="5">IF(R4&lt;&gt;0,R$28/H$31,R4)</f>
        <v>163.71779321693262</v>
      </c>
    </row>
    <row r="5" spans="1:19" x14ac:dyDescent="0.25">
      <c r="A5" s="344" t="s">
        <v>18</v>
      </c>
      <c r="B5" s="349">
        <f t="shared" si="0"/>
        <v>0</v>
      </c>
      <c r="C5" s="346">
        <f t="shared" si="1"/>
        <v>0</v>
      </c>
      <c r="D5" s="347">
        <v>0</v>
      </c>
      <c r="E5" s="272"/>
      <c r="F5" s="344" t="s">
        <v>18</v>
      </c>
      <c r="G5" s="349">
        <f t="shared" si="2"/>
        <v>0</v>
      </c>
      <c r="H5" s="346">
        <f t="shared" si="3"/>
        <v>0</v>
      </c>
      <c r="I5" s="347"/>
      <c r="K5" s="552" t="s">
        <v>18</v>
      </c>
      <c r="L5" s="553">
        <f t="shared" si="4"/>
        <v>0</v>
      </c>
      <c r="M5" s="554"/>
      <c r="N5" s="555">
        <f t="shared" ref="N5:N24" si="6">IF(M5&lt;&gt;0,M$28/C$31,M5)</f>
        <v>0</v>
      </c>
      <c r="P5" s="286" t="s">
        <v>18</v>
      </c>
      <c r="Q5" s="287">
        <f t="shared" ref="Q5:Q25" si="7">R5+S5</f>
        <v>0</v>
      </c>
      <c r="R5" s="288"/>
      <c r="S5" s="289">
        <f t="shared" si="5"/>
        <v>0</v>
      </c>
    </row>
    <row r="6" spans="1:19" x14ac:dyDescent="0.25">
      <c r="A6" s="344" t="s">
        <v>19</v>
      </c>
      <c r="B6" s="349">
        <f t="shared" si="0"/>
        <v>1315.0844651159505</v>
      </c>
      <c r="C6" s="346">
        <f t="shared" si="1"/>
        <v>1315.0844651159505</v>
      </c>
      <c r="D6" s="347">
        <f>N46</f>
        <v>0</v>
      </c>
      <c r="E6" s="272"/>
      <c r="F6" s="344" t="s">
        <v>19</v>
      </c>
      <c r="G6" s="349">
        <f t="shared" si="2"/>
        <v>353.22751101772474</v>
      </c>
      <c r="H6" s="346">
        <f t="shared" si="3"/>
        <v>353.22751101772474</v>
      </c>
      <c r="I6" s="347"/>
      <c r="K6" s="552" t="s">
        <v>19</v>
      </c>
      <c r="L6" s="553">
        <f t="shared" si="4"/>
        <v>1315.0844651159505</v>
      </c>
      <c r="M6" s="554">
        <f>'ANNEXE 1 Grille'!B4*(N$28-M$25)</f>
        <v>705.55457345400157</v>
      </c>
      <c r="N6" s="555">
        <f t="shared" si="6"/>
        <v>609.5298916619488</v>
      </c>
      <c r="P6" s="286" t="s">
        <v>19</v>
      </c>
      <c r="Q6" s="287">
        <f t="shared" si="7"/>
        <v>353.22751101772474</v>
      </c>
      <c r="R6" s="288">
        <f>'ANNEXE 1 Grille'!B4*(S$28-R$25)</f>
        <v>189.50971780079215</v>
      </c>
      <c r="S6" s="289">
        <f t="shared" si="5"/>
        <v>163.71779321693262</v>
      </c>
    </row>
    <row r="7" spans="1:19" x14ac:dyDescent="0.25">
      <c r="A7" s="344" t="s">
        <v>20</v>
      </c>
      <c r="B7" s="349">
        <f>C7+D7</f>
        <v>12206.804030772551</v>
      </c>
      <c r="C7" s="346">
        <f t="shared" si="1"/>
        <v>9301.7190820838405</v>
      </c>
      <c r="D7" s="347">
        <f>E46</f>
        <v>2905.0849486887109</v>
      </c>
      <c r="E7" s="285"/>
      <c r="F7" s="344" t="s">
        <v>20</v>
      </c>
      <c r="G7" s="349">
        <f t="shared" si="2"/>
        <v>2498.4122059877413</v>
      </c>
      <c r="H7" s="346">
        <f t="shared" si="3"/>
        <v>2498.4122059877413</v>
      </c>
      <c r="I7" s="347"/>
      <c r="K7" s="552" t="s">
        <v>20</v>
      </c>
      <c r="L7" s="553">
        <f>M7+N7</f>
        <v>9301.7190820838405</v>
      </c>
      <c r="M7" s="554">
        <f>'ANNEXE 1 Grille'!B5*(N$28-M$25)</f>
        <v>8692.1891904218919</v>
      </c>
      <c r="N7" s="555">
        <f>IF(M7&lt;&gt;0,M$28/C$31,M7)</f>
        <v>609.5298916619488</v>
      </c>
      <c r="P7" s="286" t="s">
        <v>20</v>
      </c>
      <c r="Q7" s="287">
        <f t="shared" si="7"/>
        <v>2498.4122059877413</v>
      </c>
      <c r="R7" s="288">
        <f>'ANNEXE 1 Grille'!B5*(S$28-R$25)</f>
        <v>2334.6944127708089</v>
      </c>
      <c r="S7" s="289">
        <f t="shared" si="5"/>
        <v>163.71779321693262</v>
      </c>
    </row>
    <row r="8" spans="1:19" x14ac:dyDescent="0.25">
      <c r="A8" s="344" t="s">
        <v>21</v>
      </c>
      <c r="B8" s="349">
        <f t="shared" si="0"/>
        <v>7722.6435436343554</v>
      </c>
      <c r="C8" s="346">
        <f t="shared" si="1"/>
        <v>4817.5585949456445</v>
      </c>
      <c r="D8" s="347">
        <f>G46</f>
        <v>2905.0849486887109</v>
      </c>
      <c r="E8" s="285"/>
      <c r="F8" s="344" t="s">
        <v>21</v>
      </c>
      <c r="G8" s="349">
        <f t="shared" si="2"/>
        <v>1293.9809394863926</v>
      </c>
      <c r="H8" s="346">
        <f t="shared" si="3"/>
        <v>1293.9809394863926</v>
      </c>
      <c r="I8" s="347"/>
      <c r="J8" s="245"/>
      <c r="K8" s="552" t="s">
        <v>21</v>
      </c>
      <c r="L8" s="553">
        <f t="shared" si="4"/>
        <v>4817.5585949456445</v>
      </c>
      <c r="M8" s="554">
        <f>'ANNEXE 1 Grille'!B6*(N$28-M$25)</f>
        <v>4208.0287032836959</v>
      </c>
      <c r="N8" s="555">
        <f t="shared" si="6"/>
        <v>609.5298916619488</v>
      </c>
      <c r="P8" s="286" t="s">
        <v>21</v>
      </c>
      <c r="Q8" s="287">
        <f t="shared" si="7"/>
        <v>1293.9809394863926</v>
      </c>
      <c r="R8" s="288">
        <f>'ANNEXE 1 Grille'!B6*(S$28-R$25)</f>
        <v>1130.2631462694599</v>
      </c>
      <c r="S8" s="289">
        <f t="shared" si="5"/>
        <v>163.71779321693262</v>
      </c>
    </row>
    <row r="9" spans="1:19" x14ac:dyDescent="0.25">
      <c r="A9" s="344" t="s">
        <v>22</v>
      </c>
      <c r="B9" s="349">
        <f t="shared" si="0"/>
        <v>849.76328039297891</v>
      </c>
      <c r="C9" s="346">
        <f t="shared" si="1"/>
        <v>849.76328039297891</v>
      </c>
      <c r="D9" s="347">
        <f>0</f>
        <v>0</v>
      </c>
      <c r="E9" s="272"/>
      <c r="F9" s="344" t="s">
        <v>22</v>
      </c>
      <c r="G9" s="349">
        <f t="shared" si="2"/>
        <v>228.24371852115519</v>
      </c>
      <c r="H9" s="346">
        <f t="shared" si="3"/>
        <v>228.24371852115519</v>
      </c>
      <c r="I9" s="347"/>
      <c r="K9" s="552" t="s">
        <v>22</v>
      </c>
      <c r="L9" s="553">
        <f t="shared" si="4"/>
        <v>849.76328039297891</v>
      </c>
      <c r="M9" s="554">
        <f>'ANNEXE 1 Grille'!B7*(N$28-M$25)</f>
        <v>240.23338873103009</v>
      </c>
      <c r="N9" s="555">
        <f t="shared" si="6"/>
        <v>609.5298916619488</v>
      </c>
      <c r="P9" s="286" t="s">
        <v>22</v>
      </c>
      <c r="Q9" s="287">
        <f t="shared" si="7"/>
        <v>228.24371852115519</v>
      </c>
      <c r="R9" s="288">
        <f>'ANNEXE 1 Grille'!B7*(S$28-R$25)</f>
        <v>64.525925304222568</v>
      </c>
      <c r="S9" s="289">
        <f t="shared" si="5"/>
        <v>163.71779321693262</v>
      </c>
    </row>
    <row r="10" spans="1:19" x14ac:dyDescent="0.25">
      <c r="A10" s="344" t="s">
        <v>23</v>
      </c>
      <c r="B10" s="349">
        <f t="shared" si="0"/>
        <v>0</v>
      </c>
      <c r="C10" s="346">
        <f t="shared" si="1"/>
        <v>0</v>
      </c>
      <c r="D10" s="347">
        <v>0</v>
      </c>
      <c r="E10" s="272"/>
      <c r="F10" s="344" t="s">
        <v>23</v>
      </c>
      <c r="G10" s="349">
        <f t="shared" si="2"/>
        <v>0</v>
      </c>
      <c r="H10" s="346">
        <f t="shared" si="3"/>
        <v>0</v>
      </c>
      <c r="I10" s="347"/>
      <c r="K10" s="552" t="s">
        <v>23</v>
      </c>
      <c r="L10" s="553">
        <f t="shared" si="4"/>
        <v>0</v>
      </c>
      <c r="M10" s="554"/>
      <c r="N10" s="555">
        <f t="shared" si="6"/>
        <v>0</v>
      </c>
      <c r="P10" s="286" t="s">
        <v>23</v>
      </c>
      <c r="Q10" s="287">
        <f t="shared" si="7"/>
        <v>0</v>
      </c>
      <c r="R10" s="288"/>
      <c r="S10" s="289">
        <f t="shared" si="5"/>
        <v>0</v>
      </c>
    </row>
    <row r="11" spans="1:19" x14ac:dyDescent="0.25">
      <c r="A11" s="344" t="s">
        <v>24</v>
      </c>
      <c r="B11" s="349">
        <f t="shared" si="0"/>
        <v>0</v>
      </c>
      <c r="C11" s="346">
        <f t="shared" si="1"/>
        <v>0</v>
      </c>
      <c r="D11" s="347">
        <v>0</v>
      </c>
      <c r="E11" s="272"/>
      <c r="F11" s="344" t="s">
        <v>24</v>
      </c>
      <c r="G11" s="349">
        <f t="shared" si="2"/>
        <v>0</v>
      </c>
      <c r="H11" s="346">
        <f t="shared" si="3"/>
        <v>0</v>
      </c>
      <c r="I11" s="347"/>
      <c r="K11" s="552" t="s">
        <v>24</v>
      </c>
      <c r="L11" s="553">
        <f t="shared" si="4"/>
        <v>0</v>
      </c>
      <c r="M11" s="554"/>
      <c r="N11" s="555">
        <f t="shared" si="6"/>
        <v>0</v>
      </c>
      <c r="P11" s="286" t="s">
        <v>24</v>
      </c>
      <c r="Q11" s="287">
        <f t="shared" si="7"/>
        <v>0</v>
      </c>
      <c r="R11" s="288"/>
      <c r="S11" s="289">
        <f t="shared" si="5"/>
        <v>0</v>
      </c>
    </row>
    <row r="12" spans="1:19" x14ac:dyDescent="0.25">
      <c r="A12" s="344" t="s">
        <v>25</v>
      </c>
      <c r="B12" s="349">
        <f t="shared" si="0"/>
        <v>8822.179392991764</v>
      </c>
      <c r="C12" s="346">
        <f t="shared" si="1"/>
        <v>8822.179392991764</v>
      </c>
      <c r="D12" s="347">
        <f>0</f>
        <v>0</v>
      </c>
      <c r="E12" s="272"/>
      <c r="F12" s="344" t="s">
        <v>25</v>
      </c>
      <c r="G12" s="349">
        <f t="shared" si="2"/>
        <v>2369.6093683713202</v>
      </c>
      <c r="H12" s="346">
        <f t="shared" si="3"/>
        <v>2369.6093683713202</v>
      </c>
      <c r="I12" s="347"/>
      <c r="K12" s="552" t="s">
        <v>25</v>
      </c>
      <c r="L12" s="553">
        <f t="shared" si="4"/>
        <v>8822.179392991764</v>
      </c>
      <c r="M12" s="554">
        <f>'ANNEXE 1 Grille'!B10*(N$28-M$25)</f>
        <v>8212.6495013298154</v>
      </c>
      <c r="N12" s="555">
        <f t="shared" si="6"/>
        <v>609.5298916619488</v>
      </c>
      <c r="P12" s="286" t="s">
        <v>25</v>
      </c>
      <c r="Q12" s="287">
        <f t="shared" si="7"/>
        <v>2369.6093683713202</v>
      </c>
      <c r="R12" s="288">
        <f>'ANNEXE 1 Grille'!B10*(S$28-R$25)</f>
        <v>2205.8915751543877</v>
      </c>
      <c r="S12" s="289">
        <f t="shared" si="5"/>
        <v>163.71779321693262</v>
      </c>
    </row>
    <row r="13" spans="1:19" x14ac:dyDescent="0.25">
      <c r="A13" s="344" t="s">
        <v>26</v>
      </c>
      <c r="B13" s="349">
        <f t="shared" si="0"/>
        <v>7814.6366153764357</v>
      </c>
      <c r="C13" s="346">
        <f t="shared" si="1"/>
        <v>4909.5516666877247</v>
      </c>
      <c r="D13" s="347">
        <f>F46</f>
        <v>2905.0849486887109</v>
      </c>
      <c r="E13" s="272"/>
      <c r="F13" s="344" t="s">
        <v>26</v>
      </c>
      <c r="G13" s="349">
        <f t="shared" si="2"/>
        <v>1318.6899864140096</v>
      </c>
      <c r="H13" s="346">
        <f t="shared" si="3"/>
        <v>1318.6899864140096</v>
      </c>
      <c r="I13" s="347"/>
      <c r="K13" s="552" t="s">
        <v>26</v>
      </c>
      <c r="L13" s="553">
        <f t="shared" si="4"/>
        <v>4909.5516666877247</v>
      </c>
      <c r="M13" s="554">
        <f>'ANNEXE 1 Grille'!B11*(N$28-M$25)</f>
        <v>4300.0217750257762</v>
      </c>
      <c r="N13" s="555">
        <f t="shared" si="6"/>
        <v>609.5298916619488</v>
      </c>
      <c r="P13" s="286" t="s">
        <v>26</v>
      </c>
      <c r="Q13" s="287">
        <f t="shared" si="7"/>
        <v>1318.6899864140096</v>
      </c>
      <c r="R13" s="288">
        <f>'ANNEXE 1 Grille'!B11*(S$28-R$25)</f>
        <v>1154.9721931970769</v>
      </c>
      <c r="S13" s="289">
        <f t="shared" si="5"/>
        <v>163.71779321693262</v>
      </c>
    </row>
    <row r="14" spans="1:19" x14ac:dyDescent="0.25">
      <c r="A14" s="344" t="s">
        <v>27</v>
      </c>
      <c r="B14" s="349">
        <f t="shared" si="0"/>
        <v>7243.5513523613899</v>
      </c>
      <c r="C14" s="346">
        <f t="shared" si="1"/>
        <v>4338.466403672679</v>
      </c>
      <c r="D14" s="347">
        <f>J46</f>
        <v>2905.0849486887109</v>
      </c>
      <c r="E14" s="285"/>
      <c r="F14" s="344" t="s">
        <v>27</v>
      </c>
      <c r="G14" s="349">
        <f t="shared" si="2"/>
        <v>1165.2982983630664</v>
      </c>
      <c r="H14" s="346">
        <f t="shared" si="3"/>
        <v>1165.2982983630664</v>
      </c>
      <c r="I14" s="347"/>
      <c r="K14" s="552" t="s">
        <v>27</v>
      </c>
      <c r="L14" s="553">
        <f t="shared" si="4"/>
        <v>4338.466403672679</v>
      </c>
      <c r="M14" s="554">
        <f>'ANNEXE 1 Grille'!B12*(N$28-M$25)</f>
        <v>3728.9365120107304</v>
      </c>
      <c r="N14" s="555">
        <f t="shared" si="6"/>
        <v>609.5298916619488</v>
      </c>
      <c r="P14" s="286" t="s">
        <v>27</v>
      </c>
      <c r="Q14" s="287">
        <f t="shared" si="7"/>
        <v>1165.2982983630664</v>
      </c>
      <c r="R14" s="288">
        <f>'ANNEXE 1 Grille'!B12*(S$28-R$25)</f>
        <v>1001.5805051461338</v>
      </c>
      <c r="S14" s="289">
        <f t="shared" si="5"/>
        <v>163.71779321693262</v>
      </c>
    </row>
    <row r="15" spans="1:19" x14ac:dyDescent="0.25">
      <c r="A15" s="344" t="s">
        <v>28</v>
      </c>
      <c r="B15" s="349">
        <f t="shared" si="0"/>
        <v>0</v>
      </c>
      <c r="C15" s="346">
        <f t="shared" si="1"/>
        <v>0</v>
      </c>
      <c r="D15" s="347">
        <f>0</f>
        <v>0</v>
      </c>
      <c r="E15" s="272"/>
      <c r="F15" s="344" t="s">
        <v>28</v>
      </c>
      <c r="G15" s="349">
        <f t="shared" si="2"/>
        <v>0</v>
      </c>
      <c r="H15" s="346">
        <f t="shared" si="3"/>
        <v>0</v>
      </c>
      <c r="I15" s="347"/>
      <c r="K15" s="552" t="s">
        <v>28</v>
      </c>
      <c r="L15" s="553">
        <f t="shared" si="4"/>
        <v>0</v>
      </c>
      <c r="M15" s="554"/>
      <c r="N15" s="555">
        <f t="shared" si="6"/>
        <v>0</v>
      </c>
      <c r="P15" s="286" t="s">
        <v>28</v>
      </c>
      <c r="Q15" s="287">
        <f t="shared" si="7"/>
        <v>0</v>
      </c>
      <c r="R15" s="288"/>
      <c r="S15" s="289">
        <f t="shared" si="5"/>
        <v>0</v>
      </c>
    </row>
    <row r="16" spans="1:19" x14ac:dyDescent="0.25">
      <c r="A16" s="344" t="s">
        <v>29</v>
      </c>
      <c r="B16" s="349">
        <f t="shared" si="0"/>
        <v>3247.1767811385407</v>
      </c>
      <c r="C16" s="346">
        <f t="shared" si="1"/>
        <v>2800.2406351864311</v>
      </c>
      <c r="D16" s="347">
        <f>L46</f>
        <v>446.93614595210943</v>
      </c>
      <c r="E16" s="285"/>
      <c r="F16" s="344" t="s">
        <v>29</v>
      </c>
      <c r="G16" s="349">
        <f t="shared" si="2"/>
        <v>752.13574188969324</v>
      </c>
      <c r="H16" s="346">
        <f t="shared" si="3"/>
        <v>752.13574188969324</v>
      </c>
      <c r="I16" s="347"/>
      <c r="K16" s="552" t="s">
        <v>29</v>
      </c>
      <c r="L16" s="553">
        <f t="shared" si="4"/>
        <v>2800.2406351864311</v>
      </c>
      <c r="M16" s="554">
        <f>'ANNEXE 1 Grille'!B14*(N$28-M$25)</f>
        <v>2190.7107435244825</v>
      </c>
      <c r="N16" s="555">
        <f t="shared" si="6"/>
        <v>609.5298916619488</v>
      </c>
      <c r="P16" s="286" t="s">
        <v>29</v>
      </c>
      <c r="Q16" s="287">
        <f t="shared" si="7"/>
        <v>752.13574188969324</v>
      </c>
      <c r="R16" s="288">
        <f>'ANNEXE 1 Grille'!B14*(S$28-R$25)</f>
        <v>588.41794867276064</v>
      </c>
      <c r="S16" s="289">
        <f t="shared" si="5"/>
        <v>163.71779321693262</v>
      </c>
    </row>
    <row r="17" spans="1:19" x14ac:dyDescent="0.25">
      <c r="A17" s="344" t="s">
        <v>30</v>
      </c>
      <c r="B17" s="349">
        <f t="shared" si="0"/>
        <v>8214.5101533000416</v>
      </c>
      <c r="C17" s="346">
        <f t="shared" si="1"/>
        <v>5309.4252046113306</v>
      </c>
      <c r="D17" s="347">
        <f>D46</f>
        <v>2905.0849486887109</v>
      </c>
      <c r="E17" s="285"/>
      <c r="F17" s="344" t="s">
        <v>30</v>
      </c>
      <c r="G17" s="349">
        <f t="shared" si="2"/>
        <v>1426.094748822296</v>
      </c>
      <c r="H17" s="346">
        <f t="shared" si="3"/>
        <v>1426.094748822296</v>
      </c>
      <c r="I17" s="347"/>
      <c r="K17" s="552" t="s">
        <v>30</v>
      </c>
      <c r="L17" s="553">
        <f t="shared" si="4"/>
        <v>5309.4252046113306</v>
      </c>
      <c r="M17" s="554">
        <f>'ANNEXE 1 Grille'!B15*(N$28-M$25)</f>
        <v>4699.8953129493821</v>
      </c>
      <c r="N17" s="555">
        <f t="shared" si="6"/>
        <v>609.5298916619488</v>
      </c>
      <c r="P17" s="286" t="s">
        <v>30</v>
      </c>
      <c r="Q17" s="287">
        <f t="shared" si="7"/>
        <v>1426.094748822296</v>
      </c>
      <c r="R17" s="288">
        <f>'ANNEXE 1 Grille'!B15*(S$28-R$25)</f>
        <v>1262.3769556053633</v>
      </c>
      <c r="S17" s="289">
        <f t="shared" si="5"/>
        <v>163.71779321693262</v>
      </c>
    </row>
    <row r="18" spans="1:19" x14ac:dyDescent="0.25">
      <c r="A18" s="344" t="s">
        <v>31</v>
      </c>
      <c r="B18" s="349">
        <f t="shared" si="0"/>
        <v>1584.4605027837754</v>
      </c>
      <c r="C18" s="346">
        <f t="shared" si="1"/>
        <v>1584.4605027837754</v>
      </c>
      <c r="D18" s="347">
        <f>M46</f>
        <v>0</v>
      </c>
      <c r="E18" s="285"/>
      <c r="F18" s="344" t="s">
        <v>31</v>
      </c>
      <c r="G18" s="349">
        <f t="shared" si="2"/>
        <v>425.58105927808936</v>
      </c>
      <c r="H18" s="346">
        <f t="shared" si="3"/>
        <v>425.58105927808936</v>
      </c>
      <c r="I18" s="347"/>
      <c r="K18" s="552" t="s">
        <v>31</v>
      </c>
      <c r="L18" s="553">
        <f t="shared" si="4"/>
        <v>1584.4605027837754</v>
      </c>
      <c r="M18" s="554">
        <f>'ANNEXE 1 Grille'!B16*(N$28-M$25)</f>
        <v>974.93061112182659</v>
      </c>
      <c r="N18" s="555">
        <f t="shared" si="6"/>
        <v>609.5298916619488</v>
      </c>
      <c r="P18" s="286" t="s">
        <v>31</v>
      </c>
      <c r="Q18" s="287">
        <f t="shared" si="7"/>
        <v>425.58105927808936</v>
      </c>
      <c r="R18" s="288">
        <f>'ANNEXE 1 Grille'!B16*(S$28-R$25)</f>
        <v>261.86326606115676</v>
      </c>
      <c r="S18" s="289">
        <f t="shared" si="5"/>
        <v>163.71779321693262</v>
      </c>
    </row>
    <row r="19" spans="1:19" x14ac:dyDescent="0.25">
      <c r="A19" s="344" t="s">
        <v>32</v>
      </c>
      <c r="B19" s="349">
        <f t="shared" si="0"/>
        <v>2342.1209584419839</v>
      </c>
      <c r="C19" s="346">
        <f t="shared" si="1"/>
        <v>2342.1209584419839</v>
      </c>
      <c r="D19" s="347">
        <f>K46</f>
        <v>0</v>
      </c>
      <c r="E19" s="285"/>
      <c r="F19" s="344" t="s">
        <v>32</v>
      </c>
      <c r="G19" s="349">
        <f t="shared" si="2"/>
        <v>629.08625156633366</v>
      </c>
      <c r="H19" s="346">
        <f t="shared" si="3"/>
        <v>629.08625156633366</v>
      </c>
      <c r="I19" s="347"/>
      <c r="K19" s="552" t="s">
        <v>32</v>
      </c>
      <c r="L19" s="553">
        <f t="shared" si="4"/>
        <v>2342.1209584419839</v>
      </c>
      <c r="M19" s="554">
        <f>'ANNEXE 1 Grille'!B17*(N$28-M$25)</f>
        <v>1732.5910667800354</v>
      </c>
      <c r="N19" s="555">
        <f t="shared" si="6"/>
        <v>609.5298916619488</v>
      </c>
      <c r="P19" s="286" t="s">
        <v>32</v>
      </c>
      <c r="Q19" s="287">
        <f t="shared" si="7"/>
        <v>629.08625156633366</v>
      </c>
      <c r="R19" s="288">
        <f>'ANNEXE 1 Grille'!B17*(S$28-R$25)</f>
        <v>465.36845834940107</v>
      </c>
      <c r="S19" s="289">
        <f t="shared" si="5"/>
        <v>163.71779321693262</v>
      </c>
    </row>
    <row r="20" spans="1:19" x14ac:dyDescent="0.25">
      <c r="A20" s="344" t="s">
        <v>33</v>
      </c>
      <c r="B20" s="349">
        <f t="shared" si="0"/>
        <v>1691.6974236695485</v>
      </c>
      <c r="C20" s="346">
        <f t="shared" si="1"/>
        <v>1691.6974236695485</v>
      </c>
      <c r="D20" s="347">
        <f>0</f>
        <v>0</v>
      </c>
      <c r="E20" s="272"/>
      <c r="F20" s="344" t="s">
        <v>33</v>
      </c>
      <c r="G20" s="349">
        <f t="shared" si="2"/>
        <v>454.38455567582571</v>
      </c>
      <c r="H20" s="346">
        <f t="shared" si="3"/>
        <v>454.38455567582571</v>
      </c>
      <c r="I20" s="347"/>
      <c r="K20" s="552" t="s">
        <v>33</v>
      </c>
      <c r="L20" s="553">
        <f t="shared" si="4"/>
        <v>1691.6974236695485</v>
      </c>
      <c r="M20" s="554">
        <f>'ANNEXE 1 Grille'!B18*(N$28-M$25)</f>
        <v>1082.1675320075997</v>
      </c>
      <c r="N20" s="555">
        <f t="shared" si="6"/>
        <v>609.5298916619488</v>
      </c>
      <c r="P20" s="286" t="s">
        <v>33</v>
      </c>
      <c r="Q20" s="287">
        <f t="shared" si="7"/>
        <v>454.38455567582571</v>
      </c>
      <c r="R20" s="288">
        <f>'ANNEXE 1 Grille'!B18*(S$28-R$25)</f>
        <v>290.66676245889312</v>
      </c>
      <c r="S20" s="289">
        <f t="shared" si="5"/>
        <v>163.71779321693262</v>
      </c>
    </row>
    <row r="21" spans="1:19" x14ac:dyDescent="0.25">
      <c r="A21" s="344" t="s">
        <v>34</v>
      </c>
      <c r="B21" s="349">
        <f t="shared" si="0"/>
        <v>0</v>
      </c>
      <c r="C21" s="346">
        <f t="shared" si="1"/>
        <v>0</v>
      </c>
      <c r="D21" s="347">
        <f>0</f>
        <v>0</v>
      </c>
      <c r="E21" s="272"/>
      <c r="F21" s="344" t="s">
        <v>34</v>
      </c>
      <c r="G21" s="349">
        <f t="shared" si="2"/>
        <v>0</v>
      </c>
      <c r="H21" s="346">
        <f t="shared" si="3"/>
        <v>0</v>
      </c>
      <c r="I21" s="347"/>
      <c r="K21" s="552" t="s">
        <v>34</v>
      </c>
      <c r="L21" s="553">
        <f t="shared" si="4"/>
        <v>0</v>
      </c>
      <c r="M21" s="554"/>
      <c r="N21" s="555">
        <f t="shared" si="6"/>
        <v>0</v>
      </c>
      <c r="P21" s="286" t="s">
        <v>34</v>
      </c>
      <c r="Q21" s="287">
        <f t="shared" si="7"/>
        <v>0</v>
      </c>
      <c r="R21" s="288"/>
      <c r="S21" s="289">
        <f t="shared" si="5"/>
        <v>0</v>
      </c>
    </row>
    <row r="22" spans="1:19" x14ac:dyDescent="0.25">
      <c r="A22" s="344" t="s">
        <v>35</v>
      </c>
      <c r="B22" s="349">
        <f t="shared" si="0"/>
        <v>9744.3996381195393</v>
      </c>
      <c r="C22" s="346">
        <f t="shared" si="1"/>
        <v>6839.3146894308293</v>
      </c>
      <c r="D22" s="347">
        <f>H46</f>
        <v>2905.0849486887109</v>
      </c>
      <c r="E22" s="285"/>
      <c r="F22" s="344" t="s">
        <v>35</v>
      </c>
      <c r="G22" s="349">
        <f t="shared" si="2"/>
        <v>1837.0182059763079</v>
      </c>
      <c r="H22" s="346">
        <f t="shared" si="3"/>
        <v>1837.0182059763079</v>
      </c>
      <c r="I22" s="347"/>
      <c r="K22" s="552" t="s">
        <v>35</v>
      </c>
      <c r="L22" s="553">
        <f t="shared" si="4"/>
        <v>6839.3146894308293</v>
      </c>
      <c r="M22" s="554">
        <f>'ANNEXE 1 Grille'!B20*(N$28-M$25)</f>
        <v>6229.7847977688807</v>
      </c>
      <c r="N22" s="555">
        <f t="shared" si="6"/>
        <v>609.5298916619488</v>
      </c>
      <c r="P22" s="286" t="s">
        <v>35</v>
      </c>
      <c r="Q22" s="287">
        <f t="shared" si="7"/>
        <v>1837.0182059763079</v>
      </c>
      <c r="R22" s="288">
        <f>'ANNEXE 1 Grille'!B20*(S$28-R$25)</f>
        <v>1673.3004127593751</v>
      </c>
      <c r="S22" s="289">
        <f t="shared" si="5"/>
        <v>163.71779321693262</v>
      </c>
    </row>
    <row r="23" spans="1:19" x14ac:dyDescent="0.25">
      <c r="A23" s="344" t="s">
        <v>36</v>
      </c>
      <c r="B23" s="349">
        <f t="shared" si="0"/>
        <v>0</v>
      </c>
      <c r="C23" s="346">
        <f t="shared" si="1"/>
        <v>0</v>
      </c>
      <c r="D23" s="347">
        <v>0</v>
      </c>
      <c r="E23" s="272"/>
      <c r="F23" s="344" t="s">
        <v>36</v>
      </c>
      <c r="G23" s="349">
        <f t="shared" si="2"/>
        <v>0</v>
      </c>
      <c r="H23" s="346">
        <f t="shared" si="3"/>
        <v>0</v>
      </c>
      <c r="I23" s="347"/>
      <c r="K23" s="552" t="s">
        <v>36</v>
      </c>
      <c r="L23" s="553">
        <f t="shared" si="4"/>
        <v>0</v>
      </c>
      <c r="M23" s="554"/>
      <c r="N23" s="555">
        <f t="shared" si="6"/>
        <v>0</v>
      </c>
      <c r="P23" s="286" t="s">
        <v>36</v>
      </c>
      <c r="Q23" s="287">
        <f t="shared" si="7"/>
        <v>0</v>
      </c>
      <c r="R23" s="288"/>
      <c r="S23" s="289">
        <f t="shared" si="5"/>
        <v>0</v>
      </c>
    </row>
    <row r="24" spans="1:19" hidden="1" x14ac:dyDescent="0.25">
      <c r="A24" s="344" t="s">
        <v>37</v>
      </c>
      <c r="B24" s="349">
        <f t="shared" si="0"/>
        <v>0</v>
      </c>
      <c r="C24" s="346">
        <f t="shared" si="1"/>
        <v>0</v>
      </c>
      <c r="D24" s="347">
        <v>0</v>
      </c>
      <c r="E24" s="272"/>
      <c r="F24" s="344" t="s">
        <v>37</v>
      </c>
      <c r="G24" s="349">
        <f t="shared" si="2"/>
        <v>0</v>
      </c>
      <c r="H24" s="346">
        <f t="shared" si="3"/>
        <v>0</v>
      </c>
      <c r="I24" s="347"/>
      <c r="K24" s="552" t="s">
        <v>37</v>
      </c>
      <c r="L24" s="553">
        <f t="shared" si="4"/>
        <v>0</v>
      </c>
      <c r="M24" s="554"/>
      <c r="N24" s="555">
        <f t="shared" si="6"/>
        <v>0</v>
      </c>
      <c r="P24" s="286" t="s">
        <v>37</v>
      </c>
      <c r="Q24" s="287">
        <f t="shared" si="7"/>
        <v>0</v>
      </c>
      <c r="R24" s="288"/>
      <c r="S24" s="289">
        <f t="shared" si="5"/>
        <v>0</v>
      </c>
    </row>
    <row r="25" spans="1:19" x14ac:dyDescent="0.25">
      <c r="A25" s="344" t="s">
        <v>38</v>
      </c>
      <c r="B25" s="349">
        <f t="shared" si="0"/>
        <v>0</v>
      </c>
      <c r="C25" s="346">
        <f t="shared" si="1"/>
        <v>0</v>
      </c>
      <c r="D25" s="347">
        <v>0</v>
      </c>
      <c r="E25" s="272"/>
      <c r="F25" s="344" t="s">
        <v>38</v>
      </c>
      <c r="G25" s="349">
        <f t="shared" si="2"/>
        <v>0</v>
      </c>
      <c r="H25" s="346">
        <f t="shared" si="3"/>
        <v>0</v>
      </c>
      <c r="I25" s="347"/>
      <c r="K25" s="552" t="s">
        <v>38</v>
      </c>
      <c r="L25" s="553">
        <f t="shared" si="4"/>
        <v>0</v>
      </c>
      <c r="M25" s="554">
        <v>0</v>
      </c>
      <c r="N25" s="555"/>
      <c r="P25" s="286" t="s">
        <v>38</v>
      </c>
      <c r="Q25" s="287">
        <f t="shared" si="7"/>
        <v>0</v>
      </c>
      <c r="R25" s="288">
        <v>0</v>
      </c>
      <c r="S25" s="289"/>
    </row>
    <row r="26" spans="1:19" x14ac:dyDescent="0.25">
      <c r="A26" s="344" t="s">
        <v>4</v>
      </c>
      <c r="B26" s="349">
        <f t="shared" si="0"/>
        <v>38631.951957430632</v>
      </c>
      <c r="C26" s="346">
        <f>C32*40/100</f>
        <v>38631.951957430632</v>
      </c>
      <c r="D26" s="464">
        <v>0</v>
      </c>
      <c r="E26" s="272"/>
      <c r="F26" s="344" t="s">
        <v>4</v>
      </c>
      <c r="G26" s="349">
        <f t="shared" si="2"/>
        <v>10376.419612314709</v>
      </c>
      <c r="H26" s="346">
        <f>H32*40/100</f>
        <v>10376.419612314709</v>
      </c>
      <c r="I26" s="464"/>
      <c r="K26" s="552"/>
      <c r="L26" s="553"/>
      <c r="M26" s="554"/>
      <c r="N26" s="555"/>
      <c r="P26" s="286"/>
      <c r="Q26" s="287"/>
      <c r="R26" s="288"/>
      <c r="S26" s="289"/>
    </row>
    <row r="27" spans="1:19" ht="42.75" customHeight="1" x14ac:dyDescent="0.25">
      <c r="A27" s="364" t="s">
        <v>49</v>
      </c>
      <c r="B27" s="466">
        <f t="shared" si="0"/>
        <v>114457.32573166095</v>
      </c>
      <c r="C27" s="368">
        <f>SUM(C4:C26)</f>
        <v>96579.879893576581</v>
      </c>
      <c r="D27" s="368">
        <f>SUM(D4:D26)</f>
        <v>17877.445838084375</v>
      </c>
      <c r="E27" s="272"/>
      <c r="F27" s="364" t="s">
        <v>49</v>
      </c>
      <c r="G27" s="466">
        <f t="shared" si="2"/>
        <v>25941.049030786769</v>
      </c>
      <c r="H27" s="368">
        <f>SUM(H4:H26)</f>
        <v>25941.049030786769</v>
      </c>
      <c r="I27" s="368"/>
      <c r="K27" s="172" t="s">
        <v>49</v>
      </c>
      <c r="L27" s="540">
        <f>SUM(L4:L26)</f>
        <v>57947.927936145941</v>
      </c>
      <c r="M27" s="556">
        <f>SUM(M4:M26)</f>
        <v>49414.509452878665</v>
      </c>
      <c r="N27" s="557">
        <f>SUM(N4:N26)</f>
        <v>8533.4184832672818</v>
      </c>
      <c r="P27" s="208" t="s">
        <v>49</v>
      </c>
      <c r="Q27" s="290">
        <f>SUM(Q4:Q26)</f>
        <v>15564.629418472061</v>
      </c>
      <c r="R27" s="291">
        <f>SUM(R4:R26)</f>
        <v>13272.580313435004</v>
      </c>
      <c r="S27" s="292">
        <f>SUM(S4:S26)</f>
        <v>2292.049105037057</v>
      </c>
    </row>
    <row r="28" spans="1:19" ht="45" x14ac:dyDescent="0.25">
      <c r="A28" s="383" t="s">
        <v>50</v>
      </c>
      <c r="B28" s="368">
        <f>SUM(B4:B26)</f>
        <v>114457.32573166097</v>
      </c>
      <c r="C28" s="366">
        <f>SUM(C4:C26)</f>
        <v>96579.879893576581</v>
      </c>
      <c r="D28" s="366">
        <f>SUM(D4:D26)</f>
        <v>17877.445838084375</v>
      </c>
      <c r="E28" s="272"/>
      <c r="F28" s="383" t="s">
        <v>50</v>
      </c>
      <c r="G28" s="377">
        <f>SUM(G4:G26)</f>
        <v>25941.049030786769</v>
      </c>
      <c r="H28" s="349">
        <f>SUM(H4:H26)</f>
        <v>25941.049030786769</v>
      </c>
      <c r="I28" s="349"/>
      <c r="K28" s="558" t="s">
        <v>50</v>
      </c>
      <c r="L28" s="559"/>
      <c r="M28" s="559">
        <f>N28-SUM(M4:M25)</f>
        <v>8533.4184832672836</v>
      </c>
      <c r="N28" s="560">
        <f>C32*60/100</f>
        <v>57947.927936145948</v>
      </c>
      <c r="P28" s="293" t="s">
        <v>50</v>
      </c>
      <c r="Q28" s="294"/>
      <c r="R28" s="294">
        <f>S28-SUM(R4:R25)</f>
        <v>2292.0491050370565</v>
      </c>
      <c r="S28" s="295">
        <f>H32*60/100</f>
        <v>15564.629418472061</v>
      </c>
    </row>
    <row r="29" spans="1:19" s="297" customFormat="1" x14ac:dyDescent="0.25">
      <c r="A29" s="545" t="s">
        <v>39</v>
      </c>
      <c r="B29" s="546">
        <f>SUM(B4:B26)-C32-C41</f>
        <v>0</v>
      </c>
      <c r="C29" s="546"/>
      <c r="D29" s="546"/>
      <c r="E29" s="296"/>
      <c r="F29" s="545" t="s">
        <v>39</v>
      </c>
      <c r="G29" s="546">
        <f>G27-H32</f>
        <v>0</v>
      </c>
      <c r="H29" s="546"/>
      <c r="I29" s="546"/>
      <c r="K29" s="561" t="s">
        <v>39</v>
      </c>
      <c r="L29" s="562">
        <f>SUM(L4:L26)-(C32*60/100)</f>
        <v>0</v>
      </c>
      <c r="M29" s="563"/>
      <c r="N29" s="562"/>
      <c r="P29" s="298" t="s">
        <v>39</v>
      </c>
      <c r="Q29" s="299">
        <f>Q27-H32*60/100</f>
        <v>0</v>
      </c>
      <c r="R29" s="300"/>
      <c r="S29" s="299"/>
    </row>
    <row r="30" spans="1:19" ht="45" customHeight="1" x14ac:dyDescent="0.25">
      <c r="B30" s="301"/>
      <c r="C30" s="253"/>
      <c r="E30" s="272"/>
      <c r="G30" s="274"/>
      <c r="H30" s="302"/>
      <c r="I30" s="251"/>
      <c r="J30" s="251"/>
      <c r="K30" s="303"/>
      <c r="L30" s="304"/>
      <c r="N30" s="251"/>
    </row>
    <row r="31" spans="1:19" ht="15" customHeight="1" x14ac:dyDescent="0.25">
      <c r="A31" s="791" t="s">
        <v>254</v>
      </c>
      <c r="B31" s="791"/>
      <c r="C31" s="539">
        <f>SUBTOTAL(3,M4:M24)</f>
        <v>14</v>
      </c>
      <c r="F31" s="780" t="s">
        <v>254</v>
      </c>
      <c r="G31" s="780"/>
      <c r="H31" s="305">
        <f>SUBTOTAL(3,R4:R24)</f>
        <v>14</v>
      </c>
    </row>
    <row r="32" spans="1:19" ht="15" customHeight="1" x14ac:dyDescent="0.25">
      <c r="A32" s="776" t="s">
        <v>441</v>
      </c>
      <c r="B32" s="776"/>
      <c r="C32" s="540">
        <f>C34*C36</f>
        <v>96579.879893576581</v>
      </c>
      <c r="F32" s="776" t="s">
        <v>441</v>
      </c>
      <c r="G32" s="776"/>
      <c r="H32" s="540">
        <f>H34*H36</f>
        <v>25941.049030786769</v>
      </c>
    </row>
    <row r="33" spans="1:15" ht="30" customHeight="1" x14ac:dyDescent="0.25">
      <c r="A33" s="776" t="s">
        <v>435</v>
      </c>
      <c r="B33" s="776"/>
      <c r="C33" s="540">
        <f>C32*1.2</f>
        <v>115895.8558722919</v>
      </c>
      <c r="F33" s="776" t="s">
        <v>435</v>
      </c>
      <c r="G33" s="776"/>
      <c r="H33" s="540">
        <f>H35*H36</f>
        <v>31129.258836944126</v>
      </c>
    </row>
    <row r="34" spans="1:15" ht="30" customHeight="1" x14ac:dyDescent="0.25">
      <c r="A34" s="776" t="s">
        <v>210</v>
      </c>
      <c r="B34" s="776"/>
      <c r="C34" s="540">
        <v>92704</v>
      </c>
      <c r="F34" s="776" t="s">
        <v>210</v>
      </c>
      <c r="G34" s="776"/>
      <c r="H34" s="540">
        <v>24900</v>
      </c>
    </row>
    <row r="35" spans="1:15" ht="30" customHeight="1" x14ac:dyDescent="0.25">
      <c r="A35" s="776" t="s">
        <v>211</v>
      </c>
      <c r="B35" s="776"/>
      <c r="C35" s="540">
        <f>C34*1.2</f>
        <v>111244.8</v>
      </c>
      <c r="F35" s="776" t="s">
        <v>211</v>
      </c>
      <c r="G35" s="776"/>
      <c r="H35" s="540">
        <f>H34*1.2</f>
        <v>29880</v>
      </c>
    </row>
    <row r="36" spans="1:15" ht="15.75" customHeight="1" x14ac:dyDescent="0.25">
      <c r="A36" s="776" t="s">
        <v>400</v>
      </c>
      <c r="B36" s="776"/>
      <c r="C36" s="541">
        <f>2741/2631</f>
        <v>1.0418091980235651</v>
      </c>
      <c r="F36" s="776" t="s">
        <v>400</v>
      </c>
      <c r="G36" s="776"/>
      <c r="H36" s="541">
        <f>C36</f>
        <v>1.0418091980235651</v>
      </c>
      <c r="J36" s="246"/>
    </row>
    <row r="37" spans="1:15" ht="12" customHeight="1" x14ac:dyDescent="0.25">
      <c r="A37" s="486"/>
      <c r="B37" s="334"/>
      <c r="C37" s="334"/>
    </row>
    <row r="38" spans="1:15" hidden="1" x14ac:dyDescent="0.25">
      <c r="A38" s="767" t="s">
        <v>256</v>
      </c>
      <c r="B38" s="767"/>
      <c r="C38" s="767"/>
    </row>
    <row r="39" spans="1:15" hidden="1" x14ac:dyDescent="0.25">
      <c r="A39" s="480"/>
      <c r="B39" s="481"/>
      <c r="C39" s="484"/>
      <c r="D39" s="269"/>
      <c r="E39" s="269"/>
      <c r="F39" s="255"/>
    </row>
    <row r="40" spans="1:15" x14ac:dyDescent="0.25">
      <c r="A40" s="785" t="s">
        <v>212</v>
      </c>
      <c r="B40" s="785"/>
      <c r="C40" s="785"/>
    </row>
    <row r="41" spans="1:15" x14ac:dyDescent="0.25">
      <c r="A41" s="542" t="s">
        <v>257</v>
      </c>
      <c r="B41" s="543"/>
      <c r="C41" s="544">
        <f>O47</f>
        <v>17877.445838084375</v>
      </c>
      <c r="G41" s="251"/>
    </row>
    <row r="42" spans="1:15" ht="45" x14ac:dyDescent="0.25">
      <c r="A42" s="542" t="s">
        <v>258</v>
      </c>
      <c r="B42" s="543"/>
      <c r="C42" s="544">
        <f>O48</f>
        <v>0</v>
      </c>
    </row>
    <row r="43" spans="1:15" x14ac:dyDescent="0.25">
      <c r="B43" s="248"/>
      <c r="C43" s="275"/>
      <c r="D43" s="275"/>
    </row>
    <row r="44" spans="1:15" s="334" customFormat="1" x14ac:dyDescent="0.25">
      <c r="A44" s="389" t="s">
        <v>442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</row>
    <row r="45" spans="1:15" s="334" customFormat="1" x14ac:dyDescent="0.25">
      <c r="A45" s="786">
        <v>2020</v>
      </c>
      <c r="B45" s="786"/>
      <c r="C45" s="786"/>
      <c r="D45" s="413" t="s">
        <v>30</v>
      </c>
      <c r="E45" s="413" t="s">
        <v>20</v>
      </c>
      <c r="F45" s="413" t="s">
        <v>26</v>
      </c>
      <c r="G45" s="413" t="s">
        <v>21</v>
      </c>
      <c r="H45" s="414" t="s">
        <v>35</v>
      </c>
      <c r="I45" s="413" t="s">
        <v>17</v>
      </c>
      <c r="J45" s="413" t="s">
        <v>27</v>
      </c>
      <c r="K45" s="413" t="s">
        <v>32</v>
      </c>
      <c r="L45" s="413" t="s">
        <v>29</v>
      </c>
      <c r="M45" s="413" t="s">
        <v>31</v>
      </c>
      <c r="N45" s="413" t="s">
        <v>19</v>
      </c>
      <c r="O45" s="488" t="s">
        <v>78</v>
      </c>
    </row>
    <row r="46" spans="1:15" s="334" customFormat="1" x14ac:dyDescent="0.25">
      <c r="A46" s="747" t="s">
        <v>215</v>
      </c>
      <c r="B46" s="747"/>
      <c r="C46" s="747"/>
      <c r="D46" s="400">
        <f>SUM(D47:D48)</f>
        <v>2905.0849486887109</v>
      </c>
      <c r="E46" s="400">
        <f t="shared" ref="E46:N46" si="8">SUM(E47:E48)</f>
        <v>2905.0849486887109</v>
      </c>
      <c r="F46" s="400">
        <f t="shared" si="8"/>
        <v>2905.0849486887109</v>
      </c>
      <c r="G46" s="400">
        <f t="shared" si="8"/>
        <v>2905.0849486887109</v>
      </c>
      <c r="H46" s="400">
        <f t="shared" si="8"/>
        <v>2905.0849486887109</v>
      </c>
      <c r="I46" s="400">
        <f t="shared" si="8"/>
        <v>0</v>
      </c>
      <c r="J46" s="400">
        <f t="shared" si="8"/>
        <v>2905.0849486887109</v>
      </c>
      <c r="K46" s="400">
        <f t="shared" si="8"/>
        <v>0</v>
      </c>
      <c r="L46" s="400">
        <f t="shared" si="8"/>
        <v>446.93614595210943</v>
      </c>
      <c r="M46" s="400">
        <f t="shared" si="8"/>
        <v>0</v>
      </c>
      <c r="N46" s="400">
        <f t="shared" si="8"/>
        <v>0</v>
      </c>
      <c r="O46" s="418">
        <f>SUM(D46:N46)</f>
        <v>17877.445838084375</v>
      </c>
    </row>
    <row r="47" spans="1:15" s="334" customFormat="1" x14ac:dyDescent="0.25">
      <c r="A47" s="747" t="s">
        <v>261</v>
      </c>
      <c r="B47" s="747"/>
      <c r="C47" s="747"/>
      <c r="D47" s="401">
        <f>D53</f>
        <v>2905.0849486887109</v>
      </c>
      <c r="E47" s="401">
        <f t="shared" ref="E47:O47" si="9">E53</f>
        <v>2905.0849486887109</v>
      </c>
      <c r="F47" s="401">
        <f t="shared" si="9"/>
        <v>2905.0849486887109</v>
      </c>
      <c r="G47" s="401">
        <f t="shared" si="9"/>
        <v>2905.0849486887109</v>
      </c>
      <c r="H47" s="401">
        <f t="shared" si="9"/>
        <v>2905.0849486887109</v>
      </c>
      <c r="I47" s="401">
        <f t="shared" si="9"/>
        <v>0</v>
      </c>
      <c r="J47" s="401">
        <f t="shared" si="9"/>
        <v>2905.0849486887109</v>
      </c>
      <c r="K47" s="401">
        <f t="shared" si="9"/>
        <v>0</v>
      </c>
      <c r="L47" s="401">
        <f t="shared" si="9"/>
        <v>446.93614595210943</v>
      </c>
      <c r="M47" s="401">
        <f t="shared" si="9"/>
        <v>0</v>
      </c>
      <c r="N47" s="401">
        <f t="shared" si="9"/>
        <v>0</v>
      </c>
      <c r="O47" s="523">
        <f t="shared" si="9"/>
        <v>17877.445838084375</v>
      </c>
    </row>
    <row r="48" spans="1:15" s="334" customFormat="1" x14ac:dyDescent="0.25">
      <c r="A48" s="747" t="s">
        <v>262</v>
      </c>
      <c r="B48" s="747"/>
      <c r="C48" s="747"/>
      <c r="D48" s="401">
        <f>D96</f>
        <v>0</v>
      </c>
      <c r="E48" s="401">
        <f t="shared" ref="E48:N48" si="10">E96</f>
        <v>0</v>
      </c>
      <c r="F48" s="401">
        <f t="shared" si="10"/>
        <v>0</v>
      </c>
      <c r="G48" s="401">
        <f t="shared" si="10"/>
        <v>0</v>
      </c>
      <c r="H48" s="401">
        <f t="shared" si="10"/>
        <v>0</v>
      </c>
      <c r="I48" s="401">
        <f t="shared" si="10"/>
        <v>0</v>
      </c>
      <c r="J48" s="401">
        <f t="shared" si="10"/>
        <v>0</v>
      </c>
      <c r="K48" s="401">
        <f t="shared" si="10"/>
        <v>0</v>
      </c>
      <c r="L48" s="401">
        <f t="shared" si="10"/>
        <v>0</v>
      </c>
      <c r="M48" s="401">
        <f t="shared" si="10"/>
        <v>0</v>
      </c>
      <c r="N48" s="401">
        <f t="shared" si="10"/>
        <v>0</v>
      </c>
      <c r="O48" s="418">
        <f>SUM(D48:N48)</f>
        <v>0</v>
      </c>
    </row>
    <row r="49" spans="1:15" x14ac:dyDescent="0.25">
      <c r="A49" s="258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O49" s="272">
        <f>SUM(O47:O48)</f>
        <v>17877.445838084375</v>
      </c>
    </row>
    <row r="50" spans="1:15" x14ac:dyDescent="0.25">
      <c r="A50" s="258"/>
      <c r="B50" s="259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5" s="334" customFormat="1" x14ac:dyDescent="0.25">
      <c r="A51" s="409" t="s">
        <v>270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</row>
    <row r="52" spans="1:15" s="334" customFormat="1" ht="29.25" customHeight="1" x14ac:dyDescent="0.25">
      <c r="A52" s="783" t="s">
        <v>264</v>
      </c>
      <c r="B52" s="783"/>
      <c r="C52" s="514" t="s">
        <v>271</v>
      </c>
      <c r="D52" s="413" t="s">
        <v>221</v>
      </c>
      <c r="E52" s="413" t="s">
        <v>20</v>
      </c>
      <c r="F52" s="413" t="s">
        <v>26</v>
      </c>
      <c r="G52" s="413" t="s">
        <v>21</v>
      </c>
      <c r="H52" s="414" t="s">
        <v>35</v>
      </c>
      <c r="I52" s="414" t="s">
        <v>17</v>
      </c>
      <c r="J52" s="413" t="s">
        <v>222</v>
      </c>
      <c r="K52" s="413" t="s">
        <v>32</v>
      </c>
      <c r="L52" s="413" t="s">
        <v>29</v>
      </c>
      <c r="M52" s="413" t="s">
        <v>31</v>
      </c>
      <c r="N52" s="413" t="s">
        <v>19</v>
      </c>
      <c r="O52" s="488" t="s">
        <v>78</v>
      </c>
    </row>
    <row r="53" spans="1:15" s="334" customFormat="1" ht="29.25" customHeight="1" x14ac:dyDescent="0.25">
      <c r="A53" s="515">
        <f>C36</f>
        <v>1.0418091980235651</v>
      </c>
      <c r="B53" s="516">
        <v>2020</v>
      </c>
      <c r="C53" s="432">
        <f>C55*A53</f>
        <v>17877.445838084375</v>
      </c>
      <c r="D53" s="439">
        <f>($C$53-$L$53)/6</f>
        <v>2905.0849486887109</v>
      </c>
      <c r="E53" s="439">
        <f t="shared" ref="E53:J53" si="11">($C$53-$L$53)/6</f>
        <v>2905.0849486887109</v>
      </c>
      <c r="F53" s="439">
        <f t="shared" si="11"/>
        <v>2905.0849486887109</v>
      </c>
      <c r="G53" s="439">
        <f t="shared" si="11"/>
        <v>2905.0849486887109</v>
      </c>
      <c r="H53" s="439">
        <f t="shared" si="11"/>
        <v>2905.0849486887109</v>
      </c>
      <c r="I53" s="439">
        <v>0</v>
      </c>
      <c r="J53" s="439">
        <f t="shared" si="11"/>
        <v>2905.0849486887109</v>
      </c>
      <c r="K53" s="439">
        <v>0</v>
      </c>
      <c r="L53" s="517">
        <f>L55*A53</f>
        <v>446.93614595210943</v>
      </c>
      <c r="M53" s="439">
        <v>0</v>
      </c>
      <c r="N53" s="439">
        <v>0</v>
      </c>
      <c r="O53" s="439">
        <f>SUM(D53:N53)</f>
        <v>17877.445838084375</v>
      </c>
    </row>
    <row r="54" spans="1:15" s="334" customFormat="1" ht="29.25" customHeight="1" x14ac:dyDescent="0.25">
      <c r="A54" s="515">
        <v>1.024</v>
      </c>
      <c r="B54" s="516">
        <v>2019</v>
      </c>
      <c r="C54" s="432">
        <f>C55*A54</f>
        <v>17571.84</v>
      </c>
      <c r="D54" s="439">
        <f>($C$54-$L$54)/6</f>
        <v>2855.4240000000004</v>
      </c>
      <c r="E54" s="439">
        <f t="shared" ref="E54:J54" si="12">($C$54-$L$54)/6</f>
        <v>2855.4240000000004</v>
      </c>
      <c r="F54" s="439">
        <f t="shared" si="12"/>
        <v>2855.4240000000004</v>
      </c>
      <c r="G54" s="439">
        <f t="shared" si="12"/>
        <v>2855.4240000000004</v>
      </c>
      <c r="H54" s="439">
        <f t="shared" si="12"/>
        <v>2855.4240000000004</v>
      </c>
      <c r="I54" s="439">
        <v>0</v>
      </c>
      <c r="J54" s="439">
        <f t="shared" si="12"/>
        <v>2855.4240000000004</v>
      </c>
      <c r="K54" s="439">
        <v>0</v>
      </c>
      <c r="L54" s="517">
        <f>L55*A54</f>
        <v>439.29599999999999</v>
      </c>
      <c r="M54" s="439">
        <v>0</v>
      </c>
      <c r="N54" s="439">
        <v>0</v>
      </c>
      <c r="O54" s="439">
        <f>SUM(D54:N54)</f>
        <v>17571.84</v>
      </c>
    </row>
    <row r="55" spans="1:15" s="403" customFormat="1" x14ac:dyDescent="0.25">
      <c r="A55" s="782">
        <v>2018</v>
      </c>
      <c r="B55" s="782"/>
      <c r="C55" s="518">
        <v>17160</v>
      </c>
      <c r="D55" s="439">
        <f>($C$55-$L$55)/6</f>
        <v>2788.5</v>
      </c>
      <c r="E55" s="439">
        <f>($C$55-$L$55)/6</f>
        <v>2788.5</v>
      </c>
      <c r="F55" s="439">
        <f>($C$55-$L$55)/6</f>
        <v>2788.5</v>
      </c>
      <c r="G55" s="439">
        <f>($C$55-$L$55)/6</f>
        <v>2788.5</v>
      </c>
      <c r="H55" s="439">
        <f>($C$55-$L$55)/6</f>
        <v>2788.5</v>
      </c>
      <c r="I55" s="439">
        <v>0</v>
      </c>
      <c r="J55" s="439">
        <f>($C$55-$L$55)/6</f>
        <v>2788.5</v>
      </c>
      <c r="K55" s="439">
        <v>0</v>
      </c>
      <c r="L55" s="439">
        <f>17160/40</f>
        <v>429</v>
      </c>
      <c r="M55" s="439">
        <v>0</v>
      </c>
      <c r="N55" s="439">
        <v>0</v>
      </c>
      <c r="O55" s="439">
        <f>SUM(D55:N55)</f>
        <v>17160</v>
      </c>
    </row>
    <row r="56" spans="1:15" s="522" customFormat="1" ht="7.5" customHeight="1" x14ac:dyDescent="0.25">
      <c r="A56" s="519"/>
      <c r="B56" s="519"/>
      <c r="C56" s="520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</row>
    <row r="57" spans="1:15" s="334" customFormat="1" x14ac:dyDescent="0.25">
      <c r="A57" s="783">
        <v>2017</v>
      </c>
      <c r="B57" s="783"/>
      <c r="C57" s="399">
        <f>E65+8*E66</f>
        <v>12645.687650772987</v>
      </c>
      <c r="D57" s="418">
        <f>$C57/6+D$61/42*12*$E$66+D$61/42*20*$E$67+D$61/42*10*$E$68</f>
        <v>4147.8188656050215</v>
      </c>
      <c r="E57" s="418">
        <f>$C57/6+E$61/42*12*$E$66+E$61/42*20*$E$67+E$61/42*10*$E$68</f>
        <v>5847.9890798907363</v>
      </c>
      <c r="F57" s="418">
        <f>$C57/6+F$61/42*12*$E$66+F$61/42*20*$E$67+F$61/42*10*$E$68</f>
        <v>3807.7848227478789</v>
      </c>
      <c r="G57" s="418">
        <f>$C57/6+G$61/42*12*$E$66+G$61/42*20*$E$67+G$61/42*10*$E$68</f>
        <v>4827.8869513193076</v>
      </c>
      <c r="H57" s="418">
        <f>$C57/6+H$61/42*12*$E$66+H$61/42*20*$E$67+H$61/42*10*$E$68</f>
        <v>4487.8529084621641</v>
      </c>
      <c r="I57" s="418">
        <v>0</v>
      </c>
      <c r="J57" s="418">
        <f>$C57/6+J$61/42*12*$E$66+J$61/42*20*$E$67+J$61/42*10*$E$68</f>
        <v>3807.7848227478789</v>
      </c>
      <c r="K57" s="418">
        <v>0</v>
      </c>
      <c r="L57" s="418">
        <v>0</v>
      </c>
      <c r="M57" s="418">
        <v>0</v>
      </c>
      <c r="N57" s="418">
        <v>0</v>
      </c>
      <c r="O57" s="418">
        <f>SUM(D57:N57)</f>
        <v>26927.117450772985</v>
      </c>
    </row>
    <row r="58" spans="1:15" s="334" customFormat="1" x14ac:dyDescent="0.25">
      <c r="A58" s="783">
        <v>2016</v>
      </c>
      <c r="B58" s="783"/>
      <c r="C58" s="399">
        <f>D65+8*D66</f>
        <v>12472.1201</v>
      </c>
      <c r="D58" s="418">
        <f>$C58/6+D$61/42*12*$D$66+D$61/42*20*$D$67+D$61/42*10*$D$68</f>
        <v>4118.8909404761907</v>
      </c>
      <c r="E58" s="418">
        <f>$C58/6+E$61/42*12*$D$66+E$61/42*20*$D$67+E$61/42*10*$D$68</f>
        <v>5819.0611547619055</v>
      </c>
      <c r="F58" s="418">
        <f>$C58/6+F$61/42*12*$D$66+F$61/42*20*$D$67+F$61/42*10*$D$68</f>
        <v>3778.8568976190481</v>
      </c>
      <c r="G58" s="418">
        <f>$C58/6+G$61/42*12*$D$66+G$61/42*20*$D$67+G$61/42*10*$D$68</f>
        <v>4798.9590261904759</v>
      </c>
      <c r="H58" s="418">
        <f>$C58/6+H$61/42*12*$D$66+H$61/42*20*$D$67+H$61/42*10*$D$68</f>
        <v>4458.9249833333333</v>
      </c>
      <c r="I58" s="418">
        <v>0</v>
      </c>
      <c r="J58" s="418">
        <f>$C58/6+J$61/42*12*$D$66+J$61/42*20*$D$67+J$61/42*10*$D$68</f>
        <v>3778.8568976190481</v>
      </c>
      <c r="K58" s="418">
        <v>0</v>
      </c>
      <c r="L58" s="418">
        <v>0</v>
      </c>
      <c r="M58" s="418">
        <v>0</v>
      </c>
      <c r="N58" s="418">
        <v>0</v>
      </c>
      <c r="O58" s="418">
        <f>SUM(D58:N58)</f>
        <v>26753.549899999998</v>
      </c>
    </row>
    <row r="59" spans="1:15" s="334" customFormat="1" x14ac:dyDescent="0.25">
      <c r="A59" s="783">
        <v>2015</v>
      </c>
      <c r="B59" s="783"/>
      <c r="C59" s="399">
        <f>C65+8*C66</f>
        <v>12097.416000000001</v>
      </c>
      <c r="D59" s="418">
        <f>$C59/6+D$61/42*12*$C$66+D$61/42*20*$C$67+D$61/42*10*$C$68</f>
        <v>3995.1457142857139</v>
      </c>
      <c r="E59" s="418">
        <f>$C59/6+E$61/42*12*$C$66+E$61/42*20*$C$67+E$61/42*10*$C$68</f>
        <v>5644.2371428571432</v>
      </c>
      <c r="F59" s="418">
        <f>$C59/6+F$61/42*12*$C$66+F$61/42*20*$C$67+F$61/42*10*$C$68</f>
        <v>3665.3274285714288</v>
      </c>
      <c r="G59" s="418">
        <f>$C59/6+G$61/42*12*$C$66+G$61/42*20*$C$67+G$61/42*10*$C$68</f>
        <v>4654.7822857142855</v>
      </c>
      <c r="H59" s="418">
        <f>$C59/6+H$61/42*12*$C$66+H$61/42*20*$C$67+H$61/42*10*$C$68</f>
        <v>4324.9639999999999</v>
      </c>
      <c r="I59" s="418">
        <v>0</v>
      </c>
      <c r="J59" s="418">
        <f>$C59/6+J$61/42*12*$C$66+J$61/42*20*$C$67+J$61/42*10*$C$68</f>
        <v>3665.3274285714288</v>
      </c>
      <c r="K59" s="418">
        <v>0</v>
      </c>
      <c r="L59" s="418">
        <v>0</v>
      </c>
      <c r="M59" s="418">
        <v>0</v>
      </c>
      <c r="N59" s="418">
        <v>0</v>
      </c>
      <c r="O59" s="418">
        <f>SUM(D59:N59)</f>
        <v>25949.784</v>
      </c>
    </row>
    <row r="60" spans="1:15" s="334" customFormat="1" x14ac:dyDescent="0.25">
      <c r="A60" s="783">
        <v>2014</v>
      </c>
      <c r="B60" s="783"/>
      <c r="C60" s="399">
        <f>B65+8*B66</f>
        <v>12146</v>
      </c>
      <c r="D60" s="418">
        <f>$C60/6+D$61/42*12*$B$66+D$61/42*20*$B$67+D$61/42*10*$B$68</f>
        <v>4011.1904761904761</v>
      </c>
      <c r="E60" s="418">
        <f>$C60/6+E$61/42*12*$B$66+E$61/42*20*$B$67+E$61/42*10*$B$68</f>
        <v>5666.9047619047624</v>
      </c>
      <c r="F60" s="418">
        <f>$C60/6+F$61/42*12*$B$66+F$61/42*20*$B$67+F$61/42*10*$B$68</f>
        <v>3680.0476190476188</v>
      </c>
      <c r="G60" s="418">
        <f>$C60/6+G$61/42*12*$B$66+G$61/42*20*$B$67+G$61/42*10*$B$68</f>
        <v>4673.4761904761908</v>
      </c>
      <c r="H60" s="418">
        <f>$C60/6+H$61/42*12*$B$66+H$61/42*20*$B$67+H$61/42*10*$B$68</f>
        <v>4342.333333333333</v>
      </c>
      <c r="I60" s="418">
        <v>0</v>
      </c>
      <c r="J60" s="418">
        <f>$C60/6+J$61/42*12*$B$66+J$61/42*20*$B$67+J$61/42*10*$B$68</f>
        <v>3680.0476190476188</v>
      </c>
      <c r="K60" s="418">
        <v>0</v>
      </c>
      <c r="L60" s="418">
        <v>0</v>
      </c>
      <c r="M60" s="418">
        <v>0</v>
      </c>
      <c r="N60" s="418">
        <v>0</v>
      </c>
      <c r="O60" s="418">
        <f>SUM(D60:N60)</f>
        <v>26053.999999999996</v>
      </c>
    </row>
    <row r="61" spans="1:15" s="334" customFormat="1" ht="15" customHeight="1" x14ac:dyDescent="0.25">
      <c r="A61" s="783" t="s">
        <v>223</v>
      </c>
      <c r="B61" s="783"/>
      <c r="C61" s="440">
        <v>18</v>
      </c>
      <c r="D61" s="420">
        <v>6</v>
      </c>
      <c r="E61" s="421">
        <v>11</v>
      </c>
      <c r="F61" s="421">
        <v>5</v>
      </c>
      <c r="G61" s="421">
        <v>8</v>
      </c>
      <c r="H61" s="421">
        <v>7</v>
      </c>
      <c r="I61" s="421">
        <v>0</v>
      </c>
      <c r="J61" s="421">
        <v>5</v>
      </c>
      <c r="K61" s="421">
        <v>0</v>
      </c>
      <c r="L61" s="421">
        <v>0</v>
      </c>
      <c r="M61" s="421">
        <v>0</v>
      </c>
      <c r="N61" s="421">
        <v>0</v>
      </c>
      <c r="O61" s="421">
        <f>SUM(C61:J61)</f>
        <v>60</v>
      </c>
    </row>
    <row r="62" spans="1:15" x14ac:dyDescent="0.25">
      <c r="A62" s="267"/>
      <c r="B62" s="268"/>
      <c r="C62" s="306"/>
      <c r="D62" s="306"/>
      <c r="E62" s="306"/>
      <c r="F62" s="306"/>
      <c r="G62" s="306"/>
      <c r="H62" s="306"/>
      <c r="I62" s="306"/>
      <c r="J62" s="306"/>
      <c r="K62" s="244"/>
      <c r="L62" s="244"/>
      <c r="M62" s="244"/>
      <c r="N62" s="244"/>
      <c r="O62" s="244">
        <v>42</v>
      </c>
    </row>
    <row r="63" spans="1:15" hidden="1" x14ac:dyDescent="0.25">
      <c r="A63" s="265" t="s">
        <v>272</v>
      </c>
      <c r="B63" s="266">
        <v>2014</v>
      </c>
      <c r="C63" s="266">
        <v>2015</v>
      </c>
      <c r="D63" s="266">
        <v>2016</v>
      </c>
      <c r="E63" s="266">
        <v>2017</v>
      </c>
      <c r="F63" s="307">
        <v>2018</v>
      </c>
      <c r="G63" s="244"/>
      <c r="H63" s="244"/>
      <c r="I63" s="244"/>
      <c r="J63" s="244"/>
      <c r="K63" s="244"/>
      <c r="L63" s="244"/>
      <c r="M63" s="244"/>
      <c r="N63" s="244"/>
      <c r="O63" s="244"/>
    </row>
    <row r="64" spans="1:15" hidden="1" x14ac:dyDescent="0.25">
      <c r="A64" s="265" t="s">
        <v>219</v>
      </c>
      <c r="B64" s="265" t="s">
        <v>155</v>
      </c>
      <c r="C64" s="265">
        <v>0.996</v>
      </c>
      <c r="D64" s="308">
        <v>1.02685</v>
      </c>
      <c r="E64" s="264">
        <f>2570/2458</f>
        <v>1.0455655004068349</v>
      </c>
      <c r="F64" s="309" t="s">
        <v>353</v>
      </c>
      <c r="G64" s="244"/>
      <c r="H64" s="244"/>
      <c r="I64" s="244"/>
      <c r="J64" s="244"/>
      <c r="K64" s="244"/>
      <c r="L64" s="244"/>
      <c r="M64" s="244"/>
      <c r="N64" s="244"/>
      <c r="O64" s="244"/>
    </row>
    <row r="65" spans="1:15" hidden="1" x14ac:dyDescent="0.25">
      <c r="A65" s="265" t="s">
        <v>273</v>
      </c>
      <c r="B65" s="266">
        <v>9274</v>
      </c>
      <c r="C65" s="310">
        <f>B65*C64</f>
        <v>9236.9040000000005</v>
      </c>
      <c r="D65" s="310">
        <f>B65*D64</f>
        <v>9523.0069000000003</v>
      </c>
      <c r="E65" s="310">
        <f>B65*E64</f>
        <v>9696.5744507729869</v>
      </c>
      <c r="F65" s="309">
        <v>8500</v>
      </c>
      <c r="G65" s="244"/>
      <c r="H65" s="244"/>
      <c r="I65" s="244"/>
      <c r="J65" s="244"/>
      <c r="K65" s="244"/>
      <c r="L65" s="244"/>
      <c r="M65" s="244"/>
      <c r="N65" s="244"/>
      <c r="O65" s="244"/>
    </row>
    <row r="66" spans="1:15" hidden="1" x14ac:dyDescent="0.25">
      <c r="A66" s="265" t="s">
        <v>274</v>
      </c>
      <c r="B66" s="266">
        <v>359</v>
      </c>
      <c r="C66" s="310">
        <f>B66*$C$64</f>
        <v>357.56400000000002</v>
      </c>
      <c r="D66" s="310">
        <f>B66*$D$64</f>
        <v>368.63915000000003</v>
      </c>
      <c r="E66" s="310">
        <f>B66*$D$64</f>
        <v>368.63915000000003</v>
      </c>
      <c r="F66" s="309">
        <v>352</v>
      </c>
      <c r="G66" s="244"/>
      <c r="H66" s="244"/>
      <c r="I66" s="244"/>
      <c r="J66" s="244"/>
      <c r="K66" s="244"/>
      <c r="L66" s="244"/>
      <c r="M66" s="244"/>
      <c r="N66" s="244"/>
      <c r="O66" s="244"/>
    </row>
    <row r="67" spans="1:15" hidden="1" x14ac:dyDescent="0.25">
      <c r="A67" s="265" t="s">
        <v>275</v>
      </c>
      <c r="B67" s="266">
        <v>322</v>
      </c>
      <c r="C67" s="310">
        <f>B67*$C$64</f>
        <v>320.71199999999999</v>
      </c>
      <c r="D67" s="310">
        <f>B67*$D$64</f>
        <v>330.64570000000003</v>
      </c>
      <c r="E67" s="310">
        <f>B67*$D$64</f>
        <v>330.64570000000003</v>
      </c>
      <c r="F67" s="309">
        <v>317</v>
      </c>
      <c r="G67" s="244"/>
      <c r="H67" s="244"/>
      <c r="I67" s="244"/>
      <c r="J67" s="244"/>
      <c r="K67" s="244"/>
      <c r="L67" s="244"/>
      <c r="M67" s="244"/>
      <c r="N67" s="244"/>
      <c r="O67" s="244"/>
    </row>
    <row r="68" spans="1:15" hidden="1" x14ac:dyDescent="0.25">
      <c r="A68" s="265" t="s">
        <v>276</v>
      </c>
      <c r="B68" s="266">
        <v>316</v>
      </c>
      <c r="C68" s="310">
        <f>B68*$C$64</f>
        <v>314.73599999999999</v>
      </c>
      <c r="D68" s="310">
        <f>B68*$D$64</f>
        <v>324.4846</v>
      </c>
      <c r="E68" s="310">
        <f>B68*$D$64</f>
        <v>324.4846</v>
      </c>
      <c r="F68" s="309">
        <v>308</v>
      </c>
      <c r="G68" s="244"/>
      <c r="H68" s="244"/>
      <c r="I68" s="244"/>
      <c r="J68" s="244"/>
      <c r="K68" s="244"/>
      <c r="L68" s="244"/>
      <c r="M68" s="244"/>
      <c r="N68" s="244"/>
      <c r="O68" s="244"/>
    </row>
    <row r="69" spans="1:15" hidden="1" x14ac:dyDescent="0.25">
      <c r="A69" s="267"/>
      <c r="B69" s="268"/>
      <c r="C69" s="268"/>
      <c r="D69" s="268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</row>
    <row r="70" spans="1:15" hidden="1" x14ac:dyDescent="0.25">
      <c r="A70" s="311" t="s">
        <v>277</v>
      </c>
      <c r="B70" s="312"/>
      <c r="C70" s="312"/>
      <c r="D70" s="312"/>
      <c r="E70" s="313"/>
      <c r="F70" s="312"/>
      <c r="G70" s="312"/>
      <c r="H70" s="244"/>
      <c r="I70" s="244"/>
      <c r="J70" s="244"/>
      <c r="K70" s="244"/>
      <c r="L70" s="244"/>
      <c r="M70" s="244"/>
      <c r="N70" s="244"/>
      <c r="O70" s="244"/>
    </row>
    <row r="71" spans="1:15" hidden="1" x14ac:dyDescent="0.25">
      <c r="A71" s="314" t="s">
        <v>278</v>
      </c>
      <c r="B71" s="314" t="s">
        <v>30</v>
      </c>
      <c r="C71" s="314" t="s">
        <v>20</v>
      </c>
      <c r="D71" s="314" t="s">
        <v>26</v>
      </c>
      <c r="E71" s="315" t="s">
        <v>21</v>
      </c>
      <c r="F71" s="314" t="s">
        <v>35</v>
      </c>
      <c r="G71" s="314" t="s">
        <v>27</v>
      </c>
      <c r="H71" s="244"/>
      <c r="I71" s="244"/>
      <c r="J71" s="244"/>
      <c r="K71" s="244"/>
      <c r="L71" s="244"/>
      <c r="M71" s="244"/>
      <c r="N71" s="244"/>
      <c r="O71" s="244"/>
    </row>
    <row r="72" spans="1:15" hidden="1" x14ac:dyDescent="0.25">
      <c r="A72" s="312" t="s">
        <v>279</v>
      </c>
      <c r="B72" s="312" t="s">
        <v>280</v>
      </c>
      <c r="C72" s="312" t="s">
        <v>281</v>
      </c>
      <c r="D72" s="312" t="s">
        <v>282</v>
      </c>
      <c r="E72" s="313" t="s">
        <v>283</v>
      </c>
      <c r="F72" s="312" t="s">
        <v>284</v>
      </c>
      <c r="G72" s="312" t="s">
        <v>285</v>
      </c>
      <c r="H72" s="244"/>
      <c r="I72" s="244"/>
      <c r="J72" s="244"/>
      <c r="K72" s="244"/>
      <c r="L72" s="244"/>
      <c r="M72" s="244"/>
      <c r="N72" s="244"/>
      <c r="O72" s="244"/>
    </row>
    <row r="73" spans="1:15" hidden="1" x14ac:dyDescent="0.25">
      <c r="A73" s="312" t="s">
        <v>286</v>
      </c>
      <c r="B73" s="312" t="s">
        <v>287</v>
      </c>
      <c r="C73" s="312" t="s">
        <v>288</v>
      </c>
      <c r="D73" s="312" t="s">
        <v>289</v>
      </c>
      <c r="E73" s="313" t="s">
        <v>290</v>
      </c>
      <c r="F73" s="312" t="s">
        <v>291</v>
      </c>
      <c r="G73" s="312" t="s">
        <v>266</v>
      </c>
      <c r="H73" s="244"/>
      <c r="I73" s="244"/>
      <c r="J73" s="244"/>
      <c r="K73" s="244"/>
      <c r="L73" s="244"/>
      <c r="M73" s="244"/>
      <c r="N73" s="244"/>
      <c r="O73" s="244"/>
    </row>
    <row r="74" spans="1:15" hidden="1" x14ac:dyDescent="0.25">
      <c r="A74" s="312" t="s">
        <v>292</v>
      </c>
      <c r="B74" s="312" t="s">
        <v>293</v>
      </c>
      <c r="C74" s="312" t="s">
        <v>294</v>
      </c>
      <c r="D74" s="312" t="s">
        <v>295</v>
      </c>
      <c r="E74" s="313" t="s">
        <v>296</v>
      </c>
      <c r="F74" s="312" t="s">
        <v>297</v>
      </c>
      <c r="G74" s="312" t="s">
        <v>298</v>
      </c>
      <c r="H74" s="244"/>
      <c r="I74" s="244"/>
      <c r="J74" s="244"/>
      <c r="K74" s="244"/>
      <c r="L74" s="244"/>
      <c r="M74" s="244"/>
      <c r="N74" s="244"/>
      <c r="O74" s="244"/>
    </row>
    <row r="75" spans="1:15" hidden="1" x14ac:dyDescent="0.25">
      <c r="A75" s="312" t="s">
        <v>299</v>
      </c>
      <c r="B75" s="312" t="s">
        <v>300</v>
      </c>
      <c r="C75" s="312" t="s">
        <v>301</v>
      </c>
      <c r="D75" s="312" t="s">
        <v>302</v>
      </c>
      <c r="E75" s="313" t="s">
        <v>303</v>
      </c>
      <c r="F75" s="312" t="s">
        <v>304</v>
      </c>
      <c r="G75" s="312" t="s">
        <v>305</v>
      </c>
      <c r="H75" s="244"/>
      <c r="I75" s="244"/>
      <c r="J75" s="244"/>
      <c r="K75" s="244"/>
      <c r="L75" s="244"/>
      <c r="M75" s="244"/>
      <c r="N75" s="244"/>
      <c r="O75" s="244"/>
    </row>
    <row r="76" spans="1:15" hidden="1" x14ac:dyDescent="0.25">
      <c r="A76" s="312" t="s">
        <v>306</v>
      </c>
      <c r="B76" s="312" t="s">
        <v>307</v>
      </c>
      <c r="C76" s="312" t="s">
        <v>308</v>
      </c>
      <c r="D76" s="312" t="s">
        <v>309</v>
      </c>
      <c r="E76" s="313" t="s">
        <v>424</v>
      </c>
      <c r="F76" s="312" t="s">
        <v>310</v>
      </c>
      <c r="G76" s="312" t="s">
        <v>311</v>
      </c>
      <c r="H76" s="244"/>
      <c r="I76" s="244"/>
      <c r="J76" s="244"/>
      <c r="K76" s="244"/>
      <c r="L76" s="244"/>
      <c r="M76" s="244"/>
      <c r="N76" s="244"/>
      <c r="O76" s="244"/>
    </row>
    <row r="77" spans="1:15" hidden="1" x14ac:dyDescent="0.25">
      <c r="A77" s="312" t="s">
        <v>312</v>
      </c>
      <c r="B77" s="312" t="s">
        <v>313</v>
      </c>
      <c r="C77" s="312" t="s">
        <v>314</v>
      </c>
      <c r="D77" s="312"/>
      <c r="E77" s="313" t="s">
        <v>425</v>
      </c>
      <c r="F77" s="312" t="s">
        <v>315</v>
      </c>
      <c r="G77" s="312"/>
      <c r="H77" s="244"/>
      <c r="I77" s="244"/>
      <c r="J77" s="244"/>
      <c r="K77" s="244"/>
      <c r="L77" s="244"/>
      <c r="M77" s="244"/>
      <c r="N77" s="244"/>
      <c r="O77" s="244"/>
    </row>
    <row r="78" spans="1:15" hidden="1" x14ac:dyDescent="0.25">
      <c r="A78" s="312" t="s">
        <v>316</v>
      </c>
      <c r="B78" s="312"/>
      <c r="C78" s="312" t="s">
        <v>317</v>
      </c>
      <c r="D78" s="312"/>
      <c r="E78" s="313" t="s">
        <v>318</v>
      </c>
      <c r="F78" s="312" t="s">
        <v>319</v>
      </c>
      <c r="G78" s="312"/>
      <c r="H78" s="244"/>
      <c r="I78" s="244"/>
      <c r="J78" s="244"/>
      <c r="K78" s="244"/>
      <c r="L78" s="244"/>
      <c r="M78" s="244"/>
      <c r="N78" s="244"/>
      <c r="O78" s="244"/>
    </row>
    <row r="79" spans="1:15" hidden="1" x14ac:dyDescent="0.25">
      <c r="A79" s="312" t="s">
        <v>320</v>
      </c>
      <c r="B79" s="312"/>
      <c r="C79" s="312" t="s">
        <v>321</v>
      </c>
      <c r="D79" s="312"/>
      <c r="E79" s="316" t="s">
        <v>322</v>
      </c>
      <c r="F79" s="312"/>
      <c r="G79" s="312"/>
      <c r="H79" s="244"/>
      <c r="I79" s="244"/>
      <c r="J79" s="244"/>
      <c r="K79" s="244"/>
      <c r="L79" s="244"/>
      <c r="M79" s="244"/>
      <c r="N79" s="244"/>
      <c r="O79" s="244"/>
    </row>
    <row r="80" spans="1:15" hidden="1" x14ac:dyDescent="0.25">
      <c r="A80" s="312" t="s">
        <v>323</v>
      </c>
      <c r="B80" s="312"/>
      <c r="C80" s="312" t="s">
        <v>324</v>
      </c>
      <c r="D80" s="312"/>
      <c r="E80" s="313"/>
      <c r="F80" s="312"/>
      <c r="G80" s="312"/>
      <c r="H80" s="244"/>
      <c r="I80" s="244"/>
      <c r="J80" s="244"/>
      <c r="K80" s="244"/>
      <c r="L80" s="244"/>
      <c r="M80" s="244"/>
      <c r="N80" s="244"/>
      <c r="O80" s="244"/>
    </row>
    <row r="81" spans="1:15" hidden="1" x14ac:dyDescent="0.25">
      <c r="A81" s="312" t="s">
        <v>325</v>
      </c>
      <c r="B81" s="312"/>
      <c r="C81" s="312" t="s">
        <v>326</v>
      </c>
      <c r="D81" s="312"/>
      <c r="E81" s="313"/>
      <c r="F81" s="312"/>
      <c r="G81" s="312"/>
      <c r="H81" s="244"/>
      <c r="I81" s="244"/>
      <c r="J81" s="244"/>
      <c r="K81" s="244"/>
      <c r="L81" s="244"/>
      <c r="M81" s="244"/>
      <c r="N81" s="244"/>
      <c r="O81" s="244"/>
    </row>
    <row r="82" spans="1:15" hidden="1" x14ac:dyDescent="0.25">
      <c r="A82" s="312" t="s">
        <v>327</v>
      </c>
      <c r="B82" s="312"/>
      <c r="C82" s="312" t="s">
        <v>328</v>
      </c>
      <c r="D82" s="312"/>
      <c r="E82" s="313"/>
      <c r="F82" s="312"/>
      <c r="G82" s="312"/>
      <c r="H82" s="244"/>
      <c r="I82" s="244"/>
      <c r="J82" s="244"/>
      <c r="K82" s="244"/>
      <c r="L82" s="244"/>
      <c r="M82" s="244"/>
      <c r="N82" s="244"/>
      <c r="O82" s="244"/>
    </row>
    <row r="83" spans="1:15" hidden="1" x14ac:dyDescent="0.25">
      <c r="A83" s="312" t="s">
        <v>329</v>
      </c>
      <c r="B83" s="312"/>
      <c r="C83" s="312"/>
      <c r="D83" s="312"/>
      <c r="E83" s="313"/>
      <c r="F83" s="312"/>
      <c r="G83" s="312"/>
      <c r="H83" s="244"/>
      <c r="I83" s="244"/>
      <c r="J83" s="244"/>
      <c r="K83" s="244"/>
      <c r="L83" s="244"/>
      <c r="M83" s="244"/>
      <c r="N83" s="244"/>
      <c r="O83" s="244"/>
    </row>
    <row r="84" spans="1:15" hidden="1" x14ac:dyDescent="0.25">
      <c r="A84" s="312" t="s">
        <v>330</v>
      </c>
      <c r="B84" s="312"/>
      <c r="C84" s="312"/>
      <c r="D84" s="312"/>
      <c r="E84" s="313"/>
      <c r="F84" s="312"/>
      <c r="G84" s="312"/>
      <c r="H84" s="244"/>
      <c r="I84" s="244"/>
      <c r="J84" s="244"/>
      <c r="K84" s="244"/>
      <c r="L84" s="244"/>
      <c r="M84" s="244"/>
      <c r="N84" s="244"/>
      <c r="O84" s="244"/>
    </row>
    <row r="85" spans="1:15" hidden="1" x14ac:dyDescent="0.25">
      <c r="A85" s="312" t="s">
        <v>331</v>
      </c>
      <c r="B85" s="312"/>
      <c r="C85" s="312"/>
      <c r="D85" s="312"/>
      <c r="E85" s="313"/>
      <c r="F85" s="312"/>
      <c r="G85" s="312"/>
      <c r="H85" s="244"/>
      <c r="I85" s="244"/>
      <c r="J85" s="244"/>
      <c r="K85" s="244"/>
      <c r="L85" s="244"/>
      <c r="M85" s="244"/>
      <c r="N85" s="244"/>
      <c r="O85" s="244"/>
    </row>
    <row r="86" spans="1:15" hidden="1" x14ac:dyDescent="0.25">
      <c r="A86" s="312" t="s">
        <v>332</v>
      </c>
      <c r="B86" s="312"/>
      <c r="C86" s="312"/>
      <c r="D86" s="312"/>
      <c r="E86" s="313"/>
      <c r="F86" s="312"/>
      <c r="G86" s="312"/>
      <c r="H86" s="244"/>
      <c r="I86" s="244"/>
      <c r="J86" s="244"/>
      <c r="K86" s="244"/>
      <c r="L86" s="244"/>
      <c r="M86" s="244"/>
      <c r="N86" s="244"/>
      <c r="O86" s="244"/>
    </row>
    <row r="87" spans="1:15" hidden="1" x14ac:dyDescent="0.25">
      <c r="A87" s="312" t="s">
        <v>333</v>
      </c>
      <c r="B87" s="312"/>
      <c r="C87" s="312"/>
      <c r="D87" s="312"/>
      <c r="E87" s="313"/>
      <c r="F87" s="312"/>
      <c r="G87" s="312"/>
      <c r="H87" s="244"/>
      <c r="I87" s="244"/>
      <c r="J87" s="244"/>
      <c r="K87" s="244"/>
      <c r="L87" s="244"/>
      <c r="M87" s="244"/>
      <c r="N87" s="244"/>
      <c r="O87" s="244"/>
    </row>
    <row r="88" spans="1:15" hidden="1" x14ac:dyDescent="0.25">
      <c r="A88" s="312" t="s">
        <v>334</v>
      </c>
      <c r="B88" s="312"/>
      <c r="C88" s="312"/>
      <c r="D88" s="312"/>
      <c r="E88" s="313"/>
      <c r="F88" s="312"/>
      <c r="G88" s="312"/>
      <c r="H88" s="244"/>
      <c r="I88" s="244"/>
      <c r="J88" s="244"/>
      <c r="K88" s="244"/>
      <c r="L88" s="244"/>
      <c r="M88" s="244"/>
      <c r="N88" s="244"/>
      <c r="O88" s="244"/>
    </row>
    <row r="89" spans="1:15" hidden="1" x14ac:dyDescent="0.25">
      <c r="A89" s="312" t="s">
        <v>335</v>
      </c>
      <c r="B89" s="312"/>
      <c r="C89" s="312"/>
      <c r="D89" s="312"/>
      <c r="E89" s="313"/>
      <c r="F89" s="312"/>
      <c r="G89" s="312"/>
      <c r="H89" s="244"/>
      <c r="I89" s="244"/>
      <c r="J89" s="244"/>
      <c r="K89" s="244"/>
      <c r="L89" s="244"/>
      <c r="M89" s="244"/>
      <c r="N89" s="244"/>
      <c r="O89" s="244"/>
    </row>
    <row r="90" spans="1:15" hidden="1" x14ac:dyDescent="0.25">
      <c r="A90" s="312">
        <v>18</v>
      </c>
      <c r="B90" s="312">
        <v>6</v>
      </c>
      <c r="C90" s="312">
        <v>11</v>
      </c>
      <c r="D90" s="312">
        <v>5</v>
      </c>
      <c r="E90" s="313">
        <v>8</v>
      </c>
      <c r="F90" s="312">
        <v>7</v>
      </c>
      <c r="G90" s="312">
        <v>5</v>
      </c>
      <c r="H90" s="244">
        <f>SUM(A90:G90)</f>
        <v>60</v>
      </c>
      <c r="I90" s="244"/>
      <c r="J90" s="244"/>
      <c r="K90" s="244"/>
      <c r="L90" s="244"/>
      <c r="M90" s="244"/>
      <c r="N90" s="244"/>
      <c r="O90" s="244"/>
    </row>
    <row r="91" spans="1:15" hidden="1" x14ac:dyDescent="0.25">
      <c r="A91" s="267"/>
      <c r="B91" s="317"/>
      <c r="C91" s="317"/>
      <c r="D91" s="317"/>
      <c r="E91" s="318"/>
      <c r="F91" s="318"/>
      <c r="G91" s="318"/>
      <c r="H91" s="244"/>
      <c r="I91" s="244"/>
      <c r="J91" s="244"/>
      <c r="K91" s="244"/>
      <c r="L91" s="319"/>
      <c r="M91" s="244"/>
      <c r="N91" s="244"/>
      <c r="O91" s="244"/>
    </row>
    <row r="92" spans="1:15" s="334" customFormat="1" x14ac:dyDescent="0.25">
      <c r="A92" s="389" t="s">
        <v>250</v>
      </c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</row>
    <row r="93" spans="1:15" s="334" customFormat="1" x14ac:dyDescent="0.25">
      <c r="A93" s="524"/>
      <c r="B93" s="524"/>
      <c r="C93" s="524"/>
      <c r="D93" s="524"/>
      <c r="E93" s="524"/>
      <c r="F93" s="525"/>
      <c r="G93" s="524"/>
      <c r="H93" s="524"/>
      <c r="I93" s="524"/>
      <c r="J93" s="524"/>
      <c r="K93" s="524"/>
      <c r="L93" s="524"/>
      <c r="M93" s="524"/>
      <c r="N93" s="524"/>
      <c r="O93" s="526"/>
    </row>
    <row r="94" spans="1:15" s="334" customFormat="1" ht="51.75" x14ac:dyDescent="0.25">
      <c r="A94" s="429" t="s">
        <v>264</v>
      </c>
      <c r="B94" s="429" t="s">
        <v>219</v>
      </c>
      <c r="C94" s="429" t="s">
        <v>220</v>
      </c>
      <c r="D94" s="413" t="s">
        <v>221</v>
      </c>
      <c r="E94" s="413" t="s">
        <v>20</v>
      </c>
      <c r="F94" s="413" t="s">
        <v>26</v>
      </c>
      <c r="G94" s="413" t="s">
        <v>21</v>
      </c>
      <c r="H94" s="414" t="s">
        <v>35</v>
      </c>
      <c r="I94" s="413" t="s">
        <v>17</v>
      </c>
      <c r="J94" s="413" t="s">
        <v>222</v>
      </c>
      <c r="K94" s="413" t="s">
        <v>32</v>
      </c>
      <c r="L94" s="413" t="s">
        <v>29</v>
      </c>
      <c r="M94" s="413" t="s">
        <v>31</v>
      </c>
      <c r="N94" s="413" t="s">
        <v>19</v>
      </c>
    </row>
    <row r="95" spans="1:15" s="334" customFormat="1" x14ac:dyDescent="0.25">
      <c r="A95" s="527">
        <v>2020</v>
      </c>
      <c r="B95" s="528">
        <f>C36</f>
        <v>1.0418091980235651</v>
      </c>
      <c r="C95" s="529">
        <f>C97*B95</f>
        <v>1229.3348536678068</v>
      </c>
      <c r="D95" s="418">
        <v>0</v>
      </c>
      <c r="E95" s="418">
        <v>0</v>
      </c>
      <c r="F95" s="418">
        <v>0</v>
      </c>
      <c r="G95" s="418">
        <v>0</v>
      </c>
      <c r="H95" s="418">
        <v>0</v>
      </c>
      <c r="I95" s="418">
        <v>0</v>
      </c>
      <c r="J95" s="418">
        <v>0</v>
      </c>
      <c r="K95" s="418">
        <v>0</v>
      </c>
      <c r="L95" s="418">
        <v>0</v>
      </c>
      <c r="M95" s="418">
        <v>0</v>
      </c>
      <c r="N95" s="418">
        <v>0</v>
      </c>
    </row>
    <row r="96" spans="1:15" s="334" customFormat="1" x14ac:dyDescent="0.25">
      <c r="A96" s="527">
        <v>2019</v>
      </c>
      <c r="B96" s="528">
        <v>1.024</v>
      </c>
      <c r="C96" s="529">
        <f>C97*B96</f>
        <v>1208.32</v>
      </c>
      <c r="D96" s="418">
        <v>0</v>
      </c>
      <c r="E96" s="418">
        <v>0</v>
      </c>
      <c r="F96" s="418">
        <v>0</v>
      </c>
      <c r="G96" s="418">
        <v>0</v>
      </c>
      <c r="H96" s="418">
        <v>0</v>
      </c>
      <c r="I96" s="418">
        <v>0</v>
      </c>
      <c r="J96" s="418">
        <v>0</v>
      </c>
      <c r="K96" s="418">
        <v>0</v>
      </c>
      <c r="L96" s="418">
        <v>0</v>
      </c>
      <c r="M96" s="418">
        <v>0</v>
      </c>
      <c r="N96" s="418">
        <v>0</v>
      </c>
    </row>
    <row r="97" spans="1:15" s="463" customFormat="1" x14ac:dyDescent="0.25">
      <c r="A97" s="527">
        <v>2018</v>
      </c>
      <c r="B97" s="528"/>
      <c r="C97" s="418">
        <v>1180</v>
      </c>
      <c r="D97" s="418">
        <v>0</v>
      </c>
      <c r="E97" s="418">
        <v>0</v>
      </c>
      <c r="F97" s="418">
        <v>0</v>
      </c>
      <c r="G97" s="418">
        <v>0</v>
      </c>
      <c r="H97" s="418">
        <v>0</v>
      </c>
      <c r="I97" s="418">
        <v>0</v>
      </c>
      <c r="J97" s="418">
        <v>0</v>
      </c>
      <c r="K97" s="418">
        <v>0</v>
      </c>
      <c r="L97" s="418">
        <v>0</v>
      </c>
      <c r="M97" s="418">
        <v>0</v>
      </c>
      <c r="N97" s="418">
        <v>0</v>
      </c>
    </row>
    <row r="98" spans="1:15" s="463" customFormat="1" x14ac:dyDescent="0.25">
      <c r="A98" s="527">
        <v>2017</v>
      </c>
      <c r="B98" s="528">
        <f>2570/2458</f>
        <v>1.0455655004068349</v>
      </c>
      <c r="C98" s="418">
        <f>C101*B98</f>
        <v>1182.5345809601304</v>
      </c>
      <c r="D98" s="418">
        <f>$C98/5*2</f>
        <v>473.01383238405214</v>
      </c>
      <c r="E98" s="418">
        <f>$C98/5*2</f>
        <v>473.01383238405214</v>
      </c>
      <c r="F98" s="418">
        <v>0</v>
      </c>
      <c r="G98" s="418">
        <f>$C98/5*2</f>
        <v>473.01383238405214</v>
      </c>
      <c r="H98" s="418">
        <f>$C98/5*2</f>
        <v>473.01383238405214</v>
      </c>
      <c r="I98" s="418">
        <v>0</v>
      </c>
      <c r="J98" s="418">
        <v>0</v>
      </c>
      <c r="K98" s="418">
        <f>$C98/5*2</f>
        <v>473.01383238405214</v>
      </c>
      <c r="L98" s="418">
        <v>0</v>
      </c>
      <c r="M98" s="418">
        <v>0</v>
      </c>
      <c r="N98" s="418">
        <v>0</v>
      </c>
    </row>
    <row r="99" spans="1:15" s="463" customFormat="1" x14ac:dyDescent="0.25">
      <c r="A99" s="527">
        <v>2016</v>
      </c>
      <c r="B99" s="528">
        <v>1.02685</v>
      </c>
      <c r="C99" s="418">
        <f>C101*B99</f>
        <v>1161.36735</v>
      </c>
      <c r="D99" s="418">
        <f>$C99/7*2</f>
        <v>331.81924285714285</v>
      </c>
      <c r="E99" s="418">
        <f>$C99/7*2</f>
        <v>331.81924285714285</v>
      </c>
      <c r="F99" s="418">
        <v>0</v>
      </c>
      <c r="G99" s="418">
        <f>$C99/7*2</f>
        <v>331.81924285714285</v>
      </c>
      <c r="H99" s="418">
        <f>$C99/7*2</f>
        <v>331.81924285714285</v>
      </c>
      <c r="I99" s="418">
        <v>0</v>
      </c>
      <c r="J99" s="418">
        <v>0</v>
      </c>
      <c r="K99" s="418">
        <f>$C99/7*2</f>
        <v>331.81924285714285</v>
      </c>
      <c r="L99" s="418">
        <f>$C99/7*2</f>
        <v>331.81924285714285</v>
      </c>
      <c r="M99" s="418">
        <f>$C99/7*2</f>
        <v>331.81924285714285</v>
      </c>
      <c r="N99" s="418">
        <v>0</v>
      </c>
      <c r="O99" s="530" t="s">
        <v>336</v>
      </c>
    </row>
    <row r="100" spans="1:15" s="463" customFormat="1" x14ac:dyDescent="0.25">
      <c r="A100" s="527">
        <v>2015</v>
      </c>
      <c r="B100" s="531">
        <v>0.996</v>
      </c>
      <c r="C100" s="418">
        <f>C101*B100</f>
        <v>1126.4759999999999</v>
      </c>
      <c r="D100" s="418">
        <f>$C100/7</f>
        <v>160.92514285714284</v>
      </c>
      <c r="E100" s="418">
        <f>$C100/7</f>
        <v>160.92514285714284</v>
      </c>
      <c r="F100" s="418">
        <v>0</v>
      </c>
      <c r="G100" s="418">
        <f>$C100/7</f>
        <v>160.92514285714284</v>
      </c>
      <c r="H100" s="418">
        <f>$C100/7</f>
        <v>160.92514285714284</v>
      </c>
      <c r="I100" s="418">
        <v>0</v>
      </c>
      <c r="J100" s="418">
        <v>0</v>
      </c>
      <c r="K100" s="418">
        <f t="shared" ref="K100:M101" si="13">$C100/7</f>
        <v>160.92514285714284</v>
      </c>
      <c r="L100" s="418">
        <f t="shared" si="13"/>
        <v>160.92514285714284</v>
      </c>
      <c r="M100" s="418">
        <f t="shared" si="13"/>
        <v>160.92514285714284</v>
      </c>
      <c r="N100" s="418">
        <v>0</v>
      </c>
    </row>
    <row r="101" spans="1:15" s="463" customFormat="1" x14ac:dyDescent="0.25">
      <c r="A101" s="527">
        <v>2014</v>
      </c>
      <c r="B101" s="532" t="s">
        <v>155</v>
      </c>
      <c r="C101" s="418">
        <v>1131</v>
      </c>
      <c r="D101" s="418">
        <f>$C101/7</f>
        <v>161.57142857142858</v>
      </c>
      <c r="E101" s="418">
        <f>$C101/7</f>
        <v>161.57142857142858</v>
      </c>
      <c r="F101" s="418">
        <v>0</v>
      </c>
      <c r="G101" s="418">
        <f>$C101/7</f>
        <v>161.57142857142858</v>
      </c>
      <c r="H101" s="418">
        <f>$C101/7</f>
        <v>161.57142857142858</v>
      </c>
      <c r="I101" s="418">
        <v>0</v>
      </c>
      <c r="J101" s="418">
        <v>0</v>
      </c>
      <c r="K101" s="418">
        <f t="shared" si="13"/>
        <v>161.57142857142858</v>
      </c>
      <c r="L101" s="418">
        <f t="shared" si="13"/>
        <v>161.57142857142858</v>
      </c>
      <c r="M101" s="418">
        <f t="shared" si="13"/>
        <v>161.57142857142858</v>
      </c>
      <c r="N101" s="418">
        <v>0</v>
      </c>
    </row>
    <row r="102" spans="1:15" s="334" customFormat="1" x14ac:dyDescent="0.25">
      <c r="A102" s="422"/>
      <c r="B102" s="441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</row>
    <row r="103" spans="1:15" s="334" customFormat="1" x14ac:dyDescent="0.25">
      <c r="A103" s="534" t="s">
        <v>337</v>
      </c>
      <c r="B103" s="535"/>
      <c r="C103" s="535"/>
      <c r="D103" s="536"/>
      <c r="E103" s="535"/>
      <c r="F103" s="535"/>
      <c r="G103" s="535"/>
      <c r="H103" s="535"/>
      <c r="I103" s="535"/>
      <c r="J103" s="537"/>
      <c r="K103" s="535"/>
      <c r="L103" s="535"/>
      <c r="M103" s="535"/>
      <c r="N103" s="535"/>
      <c r="O103" s="535"/>
    </row>
    <row r="104" spans="1:15" s="334" customFormat="1" ht="51.75" x14ac:dyDescent="0.25">
      <c r="A104" s="429" t="s">
        <v>264</v>
      </c>
      <c r="B104" s="429" t="s">
        <v>219</v>
      </c>
      <c r="C104" s="429" t="s">
        <v>220</v>
      </c>
      <c r="D104" s="413" t="s">
        <v>221</v>
      </c>
      <c r="E104" s="413" t="s">
        <v>20</v>
      </c>
      <c r="F104" s="413" t="s">
        <v>26</v>
      </c>
      <c r="G104" s="413" t="s">
        <v>21</v>
      </c>
      <c r="H104" s="414" t="s">
        <v>35</v>
      </c>
      <c r="I104" s="413" t="s">
        <v>17</v>
      </c>
      <c r="J104" s="413" t="s">
        <v>222</v>
      </c>
      <c r="K104" s="413" t="s">
        <v>32</v>
      </c>
      <c r="L104" s="413" t="s">
        <v>29</v>
      </c>
      <c r="M104" s="413" t="s">
        <v>31</v>
      </c>
      <c r="N104" s="413" t="s">
        <v>19</v>
      </c>
      <c r="O104" s="413" t="s">
        <v>25</v>
      </c>
    </row>
    <row r="105" spans="1:15" s="334" customFormat="1" x14ac:dyDescent="0.25">
      <c r="A105" s="415">
        <v>2017</v>
      </c>
      <c r="B105" s="416">
        <f>2570/2458</f>
        <v>1.0455655004068349</v>
      </c>
      <c r="C105" s="538">
        <f>C108*B105</f>
        <v>1182.5345809601304</v>
      </c>
      <c r="D105" s="538">
        <v>0</v>
      </c>
      <c r="E105" s="538">
        <v>0</v>
      </c>
      <c r="F105" s="538">
        <v>0</v>
      </c>
      <c r="G105" s="538">
        <v>0</v>
      </c>
      <c r="H105" s="538">
        <v>0</v>
      </c>
      <c r="I105" s="538">
        <v>0</v>
      </c>
      <c r="J105" s="538">
        <v>0</v>
      </c>
      <c r="K105" s="538">
        <v>0</v>
      </c>
      <c r="L105" s="538">
        <v>0</v>
      </c>
      <c r="M105" s="538">
        <v>0</v>
      </c>
      <c r="N105" s="538">
        <v>0</v>
      </c>
      <c r="O105" s="538">
        <v>0</v>
      </c>
    </row>
    <row r="106" spans="1:15" s="334" customFormat="1" x14ac:dyDescent="0.25">
      <c r="A106" s="415">
        <v>2016</v>
      </c>
      <c r="B106" s="416">
        <v>1.02685</v>
      </c>
      <c r="C106" s="538">
        <f>C108*B106</f>
        <v>1161.36735</v>
      </c>
      <c r="D106" s="538">
        <v>0</v>
      </c>
      <c r="E106" s="538">
        <v>0</v>
      </c>
      <c r="F106" s="538">
        <v>0</v>
      </c>
      <c r="G106" s="538">
        <v>0</v>
      </c>
      <c r="H106" s="538">
        <v>0</v>
      </c>
      <c r="I106" s="538">
        <v>0</v>
      </c>
      <c r="J106" s="538">
        <v>0</v>
      </c>
      <c r="K106" s="538">
        <v>0</v>
      </c>
      <c r="L106" s="538">
        <v>0</v>
      </c>
      <c r="M106" s="538">
        <v>0</v>
      </c>
      <c r="N106" s="538">
        <v>0</v>
      </c>
      <c r="O106" s="538">
        <v>0</v>
      </c>
    </row>
    <row r="107" spans="1:15" s="334" customFormat="1" x14ac:dyDescent="0.25">
      <c r="A107" s="415">
        <v>2015</v>
      </c>
      <c r="B107" s="420">
        <v>0.996</v>
      </c>
      <c r="C107" s="538">
        <f>C108*B107</f>
        <v>1126.4759999999999</v>
      </c>
      <c r="D107" s="538">
        <v>0</v>
      </c>
      <c r="E107" s="538">
        <v>0</v>
      </c>
      <c r="F107" s="538">
        <v>0</v>
      </c>
      <c r="G107" s="538">
        <v>0</v>
      </c>
      <c r="H107" s="538">
        <v>0</v>
      </c>
      <c r="I107" s="538">
        <v>0</v>
      </c>
      <c r="J107" s="538">
        <v>0</v>
      </c>
      <c r="K107" s="538">
        <v>0</v>
      </c>
      <c r="L107" s="538">
        <v>0</v>
      </c>
      <c r="M107" s="538">
        <v>0</v>
      </c>
      <c r="N107" s="538">
        <v>0</v>
      </c>
      <c r="O107" s="538"/>
    </row>
    <row r="108" spans="1:15" s="334" customFormat="1" x14ac:dyDescent="0.25">
      <c r="A108" s="415">
        <v>2014</v>
      </c>
      <c r="B108" s="440" t="s">
        <v>155</v>
      </c>
      <c r="C108" s="538">
        <v>1131</v>
      </c>
      <c r="D108" s="538">
        <v>0</v>
      </c>
      <c r="E108" s="538">
        <v>0</v>
      </c>
      <c r="F108" s="538">
        <v>0</v>
      </c>
      <c r="G108" s="538">
        <v>0</v>
      </c>
      <c r="H108" s="538">
        <v>0</v>
      </c>
      <c r="I108" s="538">
        <v>0</v>
      </c>
      <c r="J108" s="538">
        <v>0</v>
      </c>
      <c r="K108" s="538">
        <v>0</v>
      </c>
      <c r="L108" s="538">
        <v>0</v>
      </c>
      <c r="M108" s="538">
        <v>0</v>
      </c>
      <c r="N108" s="538">
        <v>0</v>
      </c>
      <c r="O108" s="538"/>
    </row>
    <row r="109" spans="1:15" s="334" customFormat="1" x14ac:dyDescent="0.25">
      <c r="A109" s="409" t="s">
        <v>338</v>
      </c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</row>
    <row r="110" spans="1:15" s="334" customFormat="1" ht="26.25" customHeight="1" x14ac:dyDescent="0.25">
      <c r="A110" s="429" t="s">
        <v>264</v>
      </c>
      <c r="B110" s="784" t="s">
        <v>89</v>
      </c>
      <c r="C110" s="784"/>
      <c r="D110" s="413" t="s">
        <v>221</v>
      </c>
      <c r="E110" s="413" t="s">
        <v>20</v>
      </c>
      <c r="F110" s="413" t="s">
        <v>26</v>
      </c>
      <c r="G110" s="413" t="s">
        <v>21</v>
      </c>
      <c r="H110" s="414" t="s">
        <v>35</v>
      </c>
      <c r="I110" s="413" t="s">
        <v>222</v>
      </c>
      <c r="J110" s="335"/>
      <c r="K110" s="335"/>
      <c r="L110" s="335"/>
      <c r="M110" s="335"/>
      <c r="N110" s="335"/>
      <c r="O110" s="335"/>
    </row>
    <row r="111" spans="1:15" s="334" customFormat="1" x14ac:dyDescent="0.25">
      <c r="A111" s="415">
        <v>2017</v>
      </c>
      <c r="B111" s="781">
        <v>0</v>
      </c>
      <c r="C111" s="781">
        <v>0</v>
      </c>
      <c r="D111" s="538">
        <f t="shared" ref="D111:I113" si="14">$C111/6</f>
        <v>0</v>
      </c>
      <c r="E111" s="538">
        <f t="shared" si="14"/>
        <v>0</v>
      </c>
      <c r="F111" s="538">
        <f t="shared" si="14"/>
        <v>0</v>
      </c>
      <c r="G111" s="538">
        <f t="shared" si="14"/>
        <v>0</v>
      </c>
      <c r="H111" s="538">
        <f t="shared" si="14"/>
        <v>0</v>
      </c>
      <c r="I111" s="538">
        <f t="shared" si="14"/>
        <v>0</v>
      </c>
      <c r="J111" s="335"/>
      <c r="K111" s="335"/>
      <c r="L111" s="335"/>
      <c r="M111" s="335"/>
      <c r="N111" s="335"/>
      <c r="O111" s="335"/>
    </row>
    <row r="112" spans="1:15" s="334" customFormat="1" x14ac:dyDescent="0.25">
      <c r="A112" s="415">
        <v>2016</v>
      </c>
      <c r="B112" s="781">
        <v>0</v>
      </c>
      <c r="C112" s="781">
        <v>0</v>
      </c>
      <c r="D112" s="538">
        <f t="shared" si="14"/>
        <v>0</v>
      </c>
      <c r="E112" s="538">
        <f t="shared" si="14"/>
        <v>0</v>
      </c>
      <c r="F112" s="538">
        <f t="shared" si="14"/>
        <v>0</v>
      </c>
      <c r="G112" s="538">
        <f t="shared" si="14"/>
        <v>0</v>
      </c>
      <c r="H112" s="538">
        <f t="shared" si="14"/>
        <v>0</v>
      </c>
      <c r="I112" s="538">
        <f t="shared" si="14"/>
        <v>0</v>
      </c>
      <c r="J112" s="335"/>
      <c r="K112" s="335"/>
      <c r="L112" s="335"/>
      <c r="M112" s="335"/>
      <c r="N112" s="335"/>
      <c r="O112" s="335"/>
    </row>
    <row r="113" spans="1:15" s="334" customFormat="1" x14ac:dyDescent="0.25">
      <c r="A113" s="415">
        <v>2015</v>
      </c>
      <c r="B113" s="781">
        <v>0</v>
      </c>
      <c r="C113" s="781">
        <v>0</v>
      </c>
      <c r="D113" s="538">
        <f t="shared" si="14"/>
        <v>0</v>
      </c>
      <c r="E113" s="538">
        <f t="shared" si="14"/>
        <v>0</v>
      </c>
      <c r="F113" s="538">
        <f t="shared" si="14"/>
        <v>0</v>
      </c>
      <c r="G113" s="538">
        <f t="shared" si="14"/>
        <v>0</v>
      </c>
      <c r="H113" s="538">
        <f t="shared" si="14"/>
        <v>0</v>
      </c>
      <c r="I113" s="538">
        <f t="shared" si="14"/>
        <v>0</v>
      </c>
      <c r="J113" s="335"/>
      <c r="K113" s="335"/>
      <c r="L113" s="335"/>
      <c r="M113" s="335"/>
      <c r="N113" s="335"/>
      <c r="O113" s="335"/>
    </row>
    <row r="114" spans="1:15" s="334" customFormat="1" x14ac:dyDescent="0.25">
      <c r="A114" s="415">
        <v>2014</v>
      </c>
      <c r="B114" s="781">
        <v>500</v>
      </c>
      <c r="C114" s="781">
        <v>500</v>
      </c>
      <c r="D114" s="538">
        <f t="shared" ref="D114:I114" si="15">$B$114/6</f>
        <v>83.333333333333329</v>
      </c>
      <c r="E114" s="538">
        <f t="shared" si="15"/>
        <v>83.333333333333329</v>
      </c>
      <c r="F114" s="538">
        <f t="shared" si="15"/>
        <v>83.333333333333329</v>
      </c>
      <c r="G114" s="538">
        <f t="shared" si="15"/>
        <v>83.333333333333329</v>
      </c>
      <c r="H114" s="538">
        <f t="shared" si="15"/>
        <v>83.333333333333329</v>
      </c>
      <c r="I114" s="538">
        <f t="shared" si="15"/>
        <v>83.333333333333329</v>
      </c>
      <c r="J114" s="335"/>
      <c r="K114" s="335"/>
      <c r="L114" s="335"/>
      <c r="M114" s="335"/>
      <c r="N114" s="335"/>
      <c r="O114" s="335"/>
    </row>
  </sheetData>
  <mergeCells count="38">
    <mergeCell ref="A1:A3"/>
    <mergeCell ref="B1:D1"/>
    <mergeCell ref="L1:N1"/>
    <mergeCell ref="B2:D2"/>
    <mergeCell ref="A31:B31"/>
    <mergeCell ref="A32:B32"/>
    <mergeCell ref="A33:B33"/>
    <mergeCell ref="A34:B34"/>
    <mergeCell ref="A35:B35"/>
    <mergeCell ref="A36:B36"/>
    <mergeCell ref="A38:C38"/>
    <mergeCell ref="A40:C40"/>
    <mergeCell ref="A45:C45"/>
    <mergeCell ref="A46:C46"/>
    <mergeCell ref="A47:C47"/>
    <mergeCell ref="A48:C48"/>
    <mergeCell ref="A52:B52"/>
    <mergeCell ref="A57:B57"/>
    <mergeCell ref="A58:B58"/>
    <mergeCell ref="B112:C112"/>
    <mergeCell ref="B113:C113"/>
    <mergeCell ref="B114:C114"/>
    <mergeCell ref="A55:B55"/>
    <mergeCell ref="A59:B59"/>
    <mergeCell ref="A60:B60"/>
    <mergeCell ref="A61:B61"/>
    <mergeCell ref="B110:C110"/>
    <mergeCell ref="B111:C111"/>
    <mergeCell ref="F36:G36"/>
    <mergeCell ref="Q1:S1"/>
    <mergeCell ref="F31:G31"/>
    <mergeCell ref="F32:G32"/>
    <mergeCell ref="F33:G33"/>
    <mergeCell ref="F34:G34"/>
    <mergeCell ref="F35:G35"/>
    <mergeCell ref="F1:F3"/>
    <mergeCell ref="G1:I1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BUDGET ETUDES CNIV</vt:lpstr>
      <vt:lpstr>COUT PAR IP DES OUTILS</vt:lpstr>
      <vt:lpstr>MONOPOLES</vt:lpstr>
      <vt:lpstr>PANELS IRI</vt:lpstr>
      <vt:lpstr>Monographies vin</vt:lpstr>
      <vt:lpstr>Feuil1</vt:lpstr>
      <vt:lpstr>IRI FR VT</vt:lpstr>
      <vt:lpstr>IRI FR EFF</vt:lpstr>
      <vt:lpstr>IRI UK</vt:lpstr>
      <vt:lpstr>IRI ALL</vt:lpstr>
      <vt:lpstr>IRI PB</vt:lpstr>
      <vt:lpstr>KANTAR</vt:lpstr>
      <vt:lpstr>GfK</vt:lpstr>
      <vt:lpstr> DETAIL MONOPOLES</vt:lpstr>
      <vt:lpstr>PANEL CHR FRANCE</vt:lpstr>
      <vt:lpstr>ANNEXE 1 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</dc:creator>
  <cp:lastModifiedBy>Marie-Henriette IMBERTI</cp:lastModifiedBy>
  <cp:revision>4</cp:revision>
  <cp:lastPrinted>2019-10-01T14:13:09Z</cp:lastPrinted>
  <dcterms:created xsi:type="dcterms:W3CDTF">2013-12-03T09:49:05Z</dcterms:created>
  <dcterms:modified xsi:type="dcterms:W3CDTF">2020-07-08T15:03:06Z</dcterms:modified>
  <dc:language>fr-FR</dc:language>
</cp:coreProperties>
</file>