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ssiers CNIV\DOSSIER ECONOMIE\1_BUDGET ECONOMIE\2020\"/>
    </mc:Choice>
  </mc:AlternateContent>
  <bookViews>
    <workbookView xWindow="0" yWindow="0" windowWidth="19200" windowHeight="6225" tabRatio="657" activeTab="1"/>
  </bookViews>
  <sheets>
    <sheet name="BUDGET ETUDES CNIV" sheetId="1" r:id="rId1"/>
    <sheet name="COUT PAR IP DES OUTILS" sheetId="2" r:id="rId2"/>
    <sheet name="MONOPOLES" sheetId="4" state="hidden" r:id="rId3"/>
    <sheet name="PANELS IRI" sheetId="5" state="hidden" r:id="rId4"/>
    <sheet name="Monographies vin" sheetId="6" state="hidden" r:id="rId5"/>
    <sheet name="Feuil1" sheetId="7" state="hidden" r:id="rId6"/>
    <sheet name="IRI FR VT" sheetId="9" r:id="rId7"/>
    <sheet name="IRI FR EFF" sheetId="10" r:id="rId8"/>
    <sheet name="IRI UK" sheetId="11" r:id="rId9"/>
    <sheet name="IRI ALL" sheetId="12" r:id="rId10"/>
    <sheet name="IRI PB" sheetId="13" r:id="rId11"/>
    <sheet name="KANTAR" sheetId="14" r:id="rId12"/>
    <sheet name="GfK" sheetId="15" r:id="rId13"/>
    <sheet name=" DETAIL MONOPOLES" sheetId="16" r:id="rId14"/>
    <sheet name="PANEL CHR FRANCE" sheetId="17" r:id="rId15"/>
    <sheet name="ANNEXE 1 Grille" sheetId="18" r:id="rId16"/>
  </sheets>
  <calcPr calcId="162913" concurrentCalc="0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D16" i="1" l="1"/>
  <c r="D33" i="1"/>
  <c r="G15" i="2"/>
  <c r="G5" i="2"/>
  <c r="G7" i="2"/>
  <c r="G8" i="2"/>
  <c r="G9" i="2"/>
  <c r="G10" i="2"/>
  <c r="G13" i="2"/>
  <c r="G14" i="2"/>
  <c r="G17" i="2"/>
  <c r="G18" i="2"/>
  <c r="G19" i="2"/>
  <c r="G20" i="2"/>
  <c r="G21" i="2"/>
  <c r="G27" i="2"/>
  <c r="G29" i="2"/>
  <c r="H15" i="2"/>
  <c r="F15" i="2"/>
  <c r="B15" i="2"/>
  <c r="B26" i="2"/>
  <c r="H5" i="2"/>
  <c r="F5" i="2"/>
  <c r="B5" i="2"/>
  <c r="H6" i="2"/>
  <c r="F6" i="2"/>
  <c r="B6" i="2"/>
  <c r="H7" i="2"/>
  <c r="F7" i="2"/>
  <c r="B7" i="2"/>
  <c r="H8" i="2"/>
  <c r="F8" i="2"/>
  <c r="B8" i="2"/>
  <c r="H9" i="2"/>
  <c r="F9" i="2"/>
  <c r="B9" i="2"/>
  <c r="H10" i="2"/>
  <c r="F10" i="2"/>
  <c r="B10" i="2"/>
  <c r="H11" i="2"/>
  <c r="F11" i="2"/>
  <c r="B11" i="2"/>
  <c r="H12" i="2"/>
  <c r="F12" i="2"/>
  <c r="B12" i="2"/>
  <c r="H13" i="2"/>
  <c r="F13" i="2"/>
  <c r="B13" i="2"/>
  <c r="H14" i="2"/>
  <c r="F14" i="2"/>
  <c r="B14" i="2"/>
  <c r="H16" i="2"/>
  <c r="F16" i="2"/>
  <c r="B16" i="2"/>
  <c r="H17" i="2"/>
  <c r="F17" i="2"/>
  <c r="B17" i="2"/>
  <c r="H18" i="2"/>
  <c r="F18" i="2"/>
  <c r="B18" i="2"/>
  <c r="H19" i="2"/>
  <c r="F19" i="2"/>
  <c r="B19" i="2"/>
  <c r="H20" i="2"/>
  <c r="F20" i="2"/>
  <c r="B20" i="2"/>
  <c r="H21" i="2"/>
  <c r="F21" i="2"/>
  <c r="B21" i="2"/>
  <c r="H22" i="2"/>
  <c r="F22" i="2"/>
  <c r="B22" i="2"/>
  <c r="H23" i="2"/>
  <c r="F23" i="2"/>
  <c r="B23" i="2"/>
  <c r="H24" i="2"/>
  <c r="F24" i="2"/>
  <c r="B24" i="2"/>
  <c r="B27" i="2"/>
  <c r="F27" i="2"/>
  <c r="B28" i="2"/>
  <c r="E7" i="9"/>
  <c r="E8" i="9"/>
  <c r="J16" i="1"/>
  <c r="J33" i="1"/>
  <c r="D25" i="1"/>
  <c r="D24" i="1"/>
  <c r="D23" i="1"/>
  <c r="D22" i="1"/>
  <c r="D21" i="1"/>
  <c r="D14" i="1"/>
  <c r="D12" i="1"/>
  <c r="D11" i="1"/>
  <c r="D10" i="1"/>
  <c r="D9" i="1"/>
  <c r="C8" i="9"/>
  <c r="C9" i="2"/>
  <c r="C7" i="9"/>
  <c r="C8" i="2"/>
  <c r="C29" i="2"/>
  <c r="C27" i="9"/>
  <c r="C27" i="2"/>
  <c r="D27" i="1"/>
  <c r="F11" i="1"/>
  <c r="AC27" i="2"/>
  <c r="B26" i="17"/>
  <c r="C36" i="17"/>
  <c r="C32" i="17"/>
  <c r="C25" i="17"/>
  <c r="C4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8" i="17"/>
  <c r="C35" i="17"/>
  <c r="C33" i="17"/>
  <c r="D26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C30" i="17"/>
  <c r="H35" i="15"/>
  <c r="D35" i="15"/>
  <c r="C36" i="14"/>
  <c r="F35" i="13"/>
  <c r="C34" i="12"/>
  <c r="C36" i="11"/>
  <c r="D36" i="10"/>
  <c r="D35" i="9"/>
  <c r="D31" i="9"/>
  <c r="D26" i="9"/>
  <c r="D25" i="9"/>
  <c r="C25" i="9"/>
  <c r="C26" i="2"/>
  <c r="G9" i="1"/>
  <c r="F9" i="1"/>
  <c r="D32" i="10"/>
  <c r="C25" i="10"/>
  <c r="B25" i="10"/>
  <c r="D26" i="2"/>
  <c r="G10" i="1"/>
  <c r="F10" i="1"/>
  <c r="C32" i="14"/>
  <c r="I26" i="14"/>
  <c r="G25" i="14"/>
  <c r="C25" i="14"/>
  <c r="B25" i="14"/>
  <c r="E26" i="2"/>
  <c r="G14" i="1"/>
  <c r="F14" i="1"/>
  <c r="B25" i="17"/>
  <c r="I26" i="2"/>
  <c r="G11" i="1"/>
  <c r="F12" i="1"/>
  <c r="F16" i="1"/>
  <c r="C32" i="11"/>
  <c r="C26" i="11"/>
  <c r="B26" i="11"/>
  <c r="H36" i="11"/>
  <c r="H32" i="11"/>
  <c r="H26" i="11"/>
  <c r="G26" i="11"/>
  <c r="M26" i="2"/>
  <c r="G21" i="1"/>
  <c r="F21" i="1"/>
  <c r="C30" i="12"/>
  <c r="C25" i="12"/>
  <c r="B25" i="12"/>
  <c r="N26" i="2"/>
  <c r="G22" i="1"/>
  <c r="F22" i="1"/>
  <c r="D31" i="15"/>
  <c r="C25" i="15"/>
  <c r="B25" i="15"/>
  <c r="P26" i="2"/>
  <c r="G24" i="1"/>
  <c r="F24" i="1"/>
  <c r="H31" i="15"/>
  <c r="G25" i="15"/>
  <c r="F25" i="15"/>
  <c r="Q26" i="2"/>
  <c r="G23" i="1"/>
  <c r="F23" i="1"/>
  <c r="F25" i="1"/>
  <c r="F27" i="1"/>
  <c r="F33" i="1"/>
  <c r="G25" i="1"/>
  <c r="F13" i="1"/>
  <c r="G16" i="1"/>
  <c r="G27" i="1"/>
  <c r="G33" i="1"/>
  <c r="B76" i="9"/>
  <c r="Q76" i="9"/>
  <c r="D22" i="9"/>
  <c r="D4" i="9"/>
  <c r="B66" i="9"/>
  <c r="C66" i="9"/>
  <c r="I66" i="9"/>
  <c r="J44" i="9"/>
  <c r="J42" i="9"/>
  <c r="E4" i="9"/>
  <c r="C4" i="9"/>
  <c r="C5" i="2"/>
  <c r="D5" i="9"/>
  <c r="E66" i="9"/>
  <c r="F44" i="9"/>
  <c r="F42" i="9"/>
  <c r="E5" i="9"/>
  <c r="C5" i="9"/>
  <c r="C6" i="2"/>
  <c r="D6" i="9"/>
  <c r="O66" i="9"/>
  <c r="P44" i="9"/>
  <c r="P42" i="9"/>
  <c r="E6" i="9"/>
  <c r="C6" i="9"/>
  <c r="C7" i="2"/>
  <c r="D7" i="9"/>
  <c r="D8" i="9"/>
  <c r="G76" i="9"/>
  <c r="B85" i="9"/>
  <c r="C85" i="9"/>
  <c r="G85" i="9"/>
  <c r="H43" i="9"/>
  <c r="G66" i="9"/>
  <c r="H44" i="9"/>
  <c r="H42" i="9"/>
  <c r="D9" i="9"/>
  <c r="E9" i="9"/>
  <c r="C9" i="9"/>
  <c r="C10" i="2"/>
  <c r="D13" i="9"/>
  <c r="F66" i="9"/>
  <c r="G44" i="9"/>
  <c r="G42" i="9"/>
  <c r="E13" i="9"/>
  <c r="C13" i="9"/>
  <c r="C14" i="2"/>
  <c r="D14" i="9"/>
  <c r="J66" i="9"/>
  <c r="K44" i="9"/>
  <c r="K42" i="9"/>
  <c r="E14" i="9"/>
  <c r="C14" i="9"/>
  <c r="C15" i="2"/>
  <c r="D16" i="9"/>
  <c r="M66" i="9"/>
  <c r="N44" i="9"/>
  <c r="N42" i="9"/>
  <c r="E16" i="9"/>
  <c r="C16" i="9"/>
  <c r="C17" i="2"/>
  <c r="D17" i="9"/>
  <c r="D76" i="9"/>
  <c r="E43" i="9"/>
  <c r="D66" i="9"/>
  <c r="E44" i="9"/>
  <c r="E42" i="9"/>
  <c r="E17" i="9"/>
  <c r="C17" i="9"/>
  <c r="C18" i="2"/>
  <c r="D18" i="9"/>
  <c r="N85" i="9"/>
  <c r="O43" i="9"/>
  <c r="N66" i="9"/>
  <c r="O44" i="9"/>
  <c r="O42" i="9"/>
  <c r="E18" i="9"/>
  <c r="C18" i="9"/>
  <c r="C19" i="2"/>
  <c r="D19" i="9"/>
  <c r="L66" i="9"/>
  <c r="M44" i="9"/>
  <c r="M42" i="9"/>
  <c r="E19" i="9"/>
  <c r="C19" i="9"/>
  <c r="C20" i="2"/>
  <c r="D20" i="9"/>
  <c r="P66" i="9"/>
  <c r="Q44" i="9"/>
  <c r="Q42" i="9"/>
  <c r="E20" i="9"/>
  <c r="C20" i="9"/>
  <c r="C21" i="2"/>
  <c r="H66" i="9"/>
  <c r="I44" i="9"/>
  <c r="I42" i="9"/>
  <c r="E22" i="9"/>
  <c r="C22" i="9"/>
  <c r="C23" i="2"/>
  <c r="I4" i="10"/>
  <c r="I7" i="10"/>
  <c r="I8" i="10"/>
  <c r="I12" i="10"/>
  <c r="I13" i="10"/>
  <c r="I14" i="10"/>
  <c r="I17" i="10"/>
  <c r="I22" i="10"/>
  <c r="I27" i="10"/>
  <c r="D30" i="10"/>
  <c r="J4" i="10"/>
  <c r="H4" i="10"/>
  <c r="C4" i="10"/>
  <c r="B4" i="10"/>
  <c r="D5" i="2"/>
  <c r="J5" i="10"/>
  <c r="H5" i="10"/>
  <c r="C5" i="10"/>
  <c r="B5" i="10"/>
  <c r="D6" i="2"/>
  <c r="J6" i="10"/>
  <c r="H6" i="10"/>
  <c r="C6" i="10"/>
  <c r="B6" i="10"/>
  <c r="D7" i="2"/>
  <c r="J7" i="10"/>
  <c r="H7" i="10"/>
  <c r="C7" i="10"/>
  <c r="B7" i="10"/>
  <c r="D8" i="2"/>
  <c r="J8" i="10"/>
  <c r="H8" i="10"/>
  <c r="C8" i="10"/>
  <c r="B8" i="10"/>
  <c r="D9" i="2"/>
  <c r="J9" i="10"/>
  <c r="H9" i="10"/>
  <c r="C9" i="10"/>
  <c r="B9" i="10"/>
  <c r="D10" i="2"/>
  <c r="J10" i="10"/>
  <c r="H10" i="10"/>
  <c r="C10" i="10"/>
  <c r="B10" i="10"/>
  <c r="D11" i="2"/>
  <c r="J11" i="10"/>
  <c r="H11" i="10"/>
  <c r="C11" i="10"/>
  <c r="B11" i="10"/>
  <c r="D12" i="2"/>
  <c r="J12" i="10"/>
  <c r="H12" i="10"/>
  <c r="C12" i="10"/>
  <c r="B12" i="10"/>
  <c r="D13" i="2"/>
  <c r="J13" i="10"/>
  <c r="H13" i="10"/>
  <c r="C13" i="10"/>
  <c r="B13" i="10"/>
  <c r="D14" i="2"/>
  <c r="J14" i="10"/>
  <c r="H14" i="10"/>
  <c r="C14" i="10"/>
  <c r="B14" i="10"/>
  <c r="D15" i="2"/>
  <c r="J15" i="10"/>
  <c r="H15" i="10"/>
  <c r="C15" i="10"/>
  <c r="B15" i="10"/>
  <c r="D16" i="2"/>
  <c r="J16" i="10"/>
  <c r="H16" i="10"/>
  <c r="C16" i="10"/>
  <c r="B16" i="10"/>
  <c r="D17" i="2"/>
  <c r="J17" i="10"/>
  <c r="H17" i="10"/>
  <c r="C17" i="10"/>
  <c r="B17" i="10"/>
  <c r="D18" i="2"/>
  <c r="J18" i="10"/>
  <c r="H18" i="10"/>
  <c r="C18" i="10"/>
  <c r="B18" i="10"/>
  <c r="D19" i="2"/>
  <c r="J19" i="10"/>
  <c r="H19" i="10"/>
  <c r="C19" i="10"/>
  <c r="B19" i="10"/>
  <c r="D20" i="2"/>
  <c r="J20" i="10"/>
  <c r="H20" i="10"/>
  <c r="C20" i="10"/>
  <c r="B20" i="10"/>
  <c r="D21" i="2"/>
  <c r="J21" i="10"/>
  <c r="H21" i="10"/>
  <c r="C21" i="10"/>
  <c r="B21" i="10"/>
  <c r="D22" i="2"/>
  <c r="J22" i="10"/>
  <c r="H22" i="10"/>
  <c r="C22" i="10"/>
  <c r="B22" i="10"/>
  <c r="D23" i="2"/>
  <c r="D27" i="2"/>
  <c r="N28" i="11"/>
  <c r="M4" i="11"/>
  <c r="M6" i="11"/>
  <c r="M7" i="11"/>
  <c r="M8" i="11"/>
  <c r="M9" i="11"/>
  <c r="M12" i="11"/>
  <c r="M13" i="11"/>
  <c r="M14" i="11"/>
  <c r="M16" i="11"/>
  <c r="M17" i="11"/>
  <c r="M18" i="11"/>
  <c r="M19" i="11"/>
  <c r="M20" i="11"/>
  <c r="M22" i="11"/>
  <c r="M28" i="11"/>
  <c r="C31" i="11"/>
  <c r="N4" i="11"/>
  <c r="L4" i="11"/>
  <c r="C4" i="11"/>
  <c r="B4" i="11"/>
  <c r="S28" i="11"/>
  <c r="R4" i="11"/>
  <c r="R6" i="11"/>
  <c r="R7" i="11"/>
  <c r="R8" i="11"/>
  <c r="R9" i="11"/>
  <c r="R12" i="11"/>
  <c r="R13" i="11"/>
  <c r="R14" i="11"/>
  <c r="R16" i="11"/>
  <c r="R17" i="11"/>
  <c r="R18" i="11"/>
  <c r="R19" i="11"/>
  <c r="R20" i="11"/>
  <c r="R22" i="11"/>
  <c r="R28" i="11"/>
  <c r="H31" i="11"/>
  <c r="S4" i="11"/>
  <c r="Q4" i="11"/>
  <c r="H4" i="11"/>
  <c r="G4" i="11"/>
  <c r="M5" i="2"/>
  <c r="N5" i="11"/>
  <c r="L5" i="11"/>
  <c r="C5" i="11"/>
  <c r="B5" i="11"/>
  <c r="S5" i="11"/>
  <c r="Q5" i="11"/>
  <c r="H5" i="11"/>
  <c r="G5" i="11"/>
  <c r="M6" i="2"/>
  <c r="N6" i="11"/>
  <c r="L6" i="11"/>
  <c r="C6" i="11"/>
  <c r="B6" i="11"/>
  <c r="S6" i="11"/>
  <c r="Q6" i="11"/>
  <c r="H6" i="11"/>
  <c r="G6" i="11"/>
  <c r="M7" i="2"/>
  <c r="N7" i="11"/>
  <c r="L7" i="11"/>
  <c r="C7" i="11"/>
  <c r="A53" i="11"/>
  <c r="C53" i="11"/>
  <c r="L53" i="11"/>
  <c r="E53" i="11"/>
  <c r="E47" i="11"/>
  <c r="E46" i="11"/>
  <c r="D7" i="11"/>
  <c r="B7" i="11"/>
  <c r="S7" i="11"/>
  <c r="Q7" i="11"/>
  <c r="H7" i="11"/>
  <c r="G7" i="11"/>
  <c r="M8" i="2"/>
  <c r="N8" i="11"/>
  <c r="L8" i="11"/>
  <c r="C8" i="11"/>
  <c r="G53" i="11"/>
  <c r="G47" i="11"/>
  <c r="G46" i="11"/>
  <c r="D8" i="11"/>
  <c r="B8" i="11"/>
  <c r="S8" i="11"/>
  <c r="Q8" i="11"/>
  <c r="H8" i="11"/>
  <c r="G8" i="11"/>
  <c r="M9" i="2"/>
  <c r="N9" i="11"/>
  <c r="L9" i="11"/>
  <c r="C9" i="11"/>
  <c r="B9" i="11"/>
  <c r="S9" i="11"/>
  <c r="Q9" i="11"/>
  <c r="H9" i="11"/>
  <c r="G9" i="11"/>
  <c r="M10" i="2"/>
  <c r="N10" i="11"/>
  <c r="L10" i="11"/>
  <c r="C10" i="11"/>
  <c r="B10" i="11"/>
  <c r="S10" i="11"/>
  <c r="Q10" i="11"/>
  <c r="H10" i="11"/>
  <c r="G10" i="11"/>
  <c r="M11" i="2"/>
  <c r="N11" i="11"/>
  <c r="L11" i="11"/>
  <c r="C11" i="11"/>
  <c r="B11" i="11"/>
  <c r="S11" i="11"/>
  <c r="Q11" i="11"/>
  <c r="H11" i="11"/>
  <c r="G11" i="11"/>
  <c r="M12" i="2"/>
  <c r="N12" i="11"/>
  <c r="L12" i="11"/>
  <c r="C12" i="11"/>
  <c r="B12" i="11"/>
  <c r="S12" i="11"/>
  <c r="Q12" i="11"/>
  <c r="H12" i="11"/>
  <c r="G12" i="11"/>
  <c r="M13" i="2"/>
  <c r="N13" i="11"/>
  <c r="L13" i="11"/>
  <c r="C13" i="11"/>
  <c r="F53" i="11"/>
  <c r="F47" i="11"/>
  <c r="F46" i="11"/>
  <c r="D13" i="11"/>
  <c r="B13" i="11"/>
  <c r="S13" i="11"/>
  <c r="Q13" i="11"/>
  <c r="H13" i="11"/>
  <c r="G13" i="11"/>
  <c r="M14" i="2"/>
  <c r="N14" i="11"/>
  <c r="L14" i="11"/>
  <c r="C14" i="11"/>
  <c r="J53" i="11"/>
  <c r="J47" i="11"/>
  <c r="J46" i="11"/>
  <c r="D14" i="11"/>
  <c r="B14" i="11"/>
  <c r="S14" i="11"/>
  <c r="Q14" i="11"/>
  <c r="H14" i="11"/>
  <c r="G14" i="11"/>
  <c r="M15" i="2"/>
  <c r="N15" i="11"/>
  <c r="L15" i="11"/>
  <c r="C15" i="11"/>
  <c r="B15" i="11"/>
  <c r="S15" i="11"/>
  <c r="Q15" i="11"/>
  <c r="H15" i="11"/>
  <c r="G15" i="11"/>
  <c r="M16" i="2"/>
  <c r="N16" i="11"/>
  <c r="L16" i="11"/>
  <c r="C16" i="11"/>
  <c r="L47" i="11"/>
  <c r="L46" i="11"/>
  <c r="D16" i="11"/>
  <c r="B16" i="11"/>
  <c r="S16" i="11"/>
  <c r="Q16" i="11"/>
  <c r="H16" i="11"/>
  <c r="G16" i="11"/>
  <c r="M17" i="2"/>
  <c r="N17" i="11"/>
  <c r="L17" i="11"/>
  <c r="C17" i="11"/>
  <c r="D53" i="11"/>
  <c r="D47" i="11"/>
  <c r="D46" i="11"/>
  <c r="D17" i="11"/>
  <c r="B17" i="11"/>
  <c r="S17" i="11"/>
  <c r="Q17" i="11"/>
  <c r="H17" i="11"/>
  <c r="G17" i="11"/>
  <c r="M18" i="2"/>
  <c r="N18" i="11"/>
  <c r="L18" i="11"/>
  <c r="C18" i="11"/>
  <c r="B18" i="11"/>
  <c r="S18" i="11"/>
  <c r="Q18" i="11"/>
  <c r="H18" i="11"/>
  <c r="G18" i="11"/>
  <c r="M19" i="2"/>
  <c r="N19" i="11"/>
  <c r="L19" i="11"/>
  <c r="C19" i="11"/>
  <c r="B19" i="11"/>
  <c r="S19" i="11"/>
  <c r="Q19" i="11"/>
  <c r="H19" i="11"/>
  <c r="G19" i="11"/>
  <c r="M20" i="2"/>
  <c r="N20" i="11"/>
  <c r="L20" i="11"/>
  <c r="C20" i="11"/>
  <c r="B20" i="11"/>
  <c r="S20" i="11"/>
  <c r="Q20" i="11"/>
  <c r="H20" i="11"/>
  <c r="G20" i="11"/>
  <c r="M21" i="2"/>
  <c r="N21" i="11"/>
  <c r="L21" i="11"/>
  <c r="C21" i="11"/>
  <c r="B21" i="11"/>
  <c r="S21" i="11"/>
  <c r="Q21" i="11"/>
  <c r="H21" i="11"/>
  <c r="G21" i="11"/>
  <c r="M22" i="2"/>
  <c r="N22" i="11"/>
  <c r="L22" i="11"/>
  <c r="C22" i="11"/>
  <c r="H53" i="11"/>
  <c r="H47" i="11"/>
  <c r="H46" i="11"/>
  <c r="D22" i="11"/>
  <c r="B22" i="11"/>
  <c r="S22" i="11"/>
  <c r="Q22" i="11"/>
  <c r="H22" i="11"/>
  <c r="G22" i="11"/>
  <c r="M23" i="2"/>
  <c r="N23" i="11"/>
  <c r="L23" i="11"/>
  <c r="C23" i="11"/>
  <c r="B23" i="11"/>
  <c r="S23" i="11"/>
  <c r="Q23" i="11"/>
  <c r="H23" i="11"/>
  <c r="G23" i="11"/>
  <c r="M24" i="2"/>
  <c r="N24" i="11"/>
  <c r="L24" i="11"/>
  <c r="C24" i="11"/>
  <c r="B24" i="11"/>
  <c r="S24" i="11"/>
  <c r="Q24" i="11"/>
  <c r="H24" i="11"/>
  <c r="G24" i="11"/>
  <c r="M25" i="2"/>
  <c r="M27" i="2"/>
  <c r="C4" i="12"/>
  <c r="C6" i="12"/>
  <c r="C7" i="12"/>
  <c r="C8" i="12"/>
  <c r="C9" i="12"/>
  <c r="C12" i="12"/>
  <c r="C13" i="12"/>
  <c r="C14" i="12"/>
  <c r="C16" i="12"/>
  <c r="C17" i="12"/>
  <c r="C18" i="12"/>
  <c r="C19" i="12"/>
  <c r="C20" i="12"/>
  <c r="C22" i="12"/>
  <c r="E26" i="12"/>
  <c r="C29" i="12"/>
  <c r="D4" i="12"/>
  <c r="B4" i="12"/>
  <c r="N5" i="2"/>
  <c r="D5" i="12"/>
  <c r="B5" i="12"/>
  <c r="N6" i="2"/>
  <c r="D6" i="12"/>
  <c r="B6" i="12"/>
  <c r="N7" i="2"/>
  <c r="D7" i="12"/>
  <c r="B7" i="12"/>
  <c r="N8" i="2"/>
  <c r="D8" i="12"/>
  <c r="B8" i="12"/>
  <c r="N9" i="2"/>
  <c r="D9" i="12"/>
  <c r="B9" i="12"/>
  <c r="N10" i="2"/>
  <c r="D10" i="12"/>
  <c r="B10" i="12"/>
  <c r="N11" i="2"/>
  <c r="D11" i="12"/>
  <c r="B11" i="12"/>
  <c r="N12" i="2"/>
  <c r="D12" i="12"/>
  <c r="B12" i="12"/>
  <c r="N13" i="2"/>
  <c r="D13" i="12"/>
  <c r="B13" i="12"/>
  <c r="N14" i="2"/>
  <c r="D14" i="12"/>
  <c r="B14" i="12"/>
  <c r="N15" i="2"/>
  <c r="D15" i="12"/>
  <c r="B15" i="12"/>
  <c r="N16" i="2"/>
  <c r="D16" i="12"/>
  <c r="B16" i="12"/>
  <c r="N17" i="2"/>
  <c r="D17" i="12"/>
  <c r="B17" i="12"/>
  <c r="N18" i="2"/>
  <c r="D18" i="12"/>
  <c r="B18" i="12"/>
  <c r="N19" i="2"/>
  <c r="D19" i="12"/>
  <c r="B19" i="12"/>
  <c r="N20" i="2"/>
  <c r="D20" i="12"/>
  <c r="B20" i="12"/>
  <c r="N21" i="2"/>
  <c r="D21" i="12"/>
  <c r="B21" i="12"/>
  <c r="N22" i="2"/>
  <c r="D22" i="12"/>
  <c r="B22" i="12"/>
  <c r="N23" i="2"/>
  <c r="D23" i="12"/>
  <c r="B23" i="12"/>
  <c r="N24" i="2"/>
  <c r="N27" i="2"/>
  <c r="F31" i="13"/>
  <c r="I26" i="13"/>
  <c r="H4" i="13"/>
  <c r="I27" i="13"/>
  <c r="H6" i="13"/>
  <c r="H7" i="13"/>
  <c r="H8" i="13"/>
  <c r="H9" i="13"/>
  <c r="H13" i="13"/>
  <c r="H14" i="13"/>
  <c r="H16" i="13"/>
  <c r="H17" i="13"/>
  <c r="H18" i="13"/>
  <c r="H19" i="13"/>
  <c r="H20" i="13"/>
  <c r="H22" i="13"/>
  <c r="H27" i="13"/>
  <c r="F30" i="13"/>
  <c r="I4" i="13"/>
  <c r="G4" i="13"/>
  <c r="C4" i="13"/>
  <c r="B4" i="13"/>
  <c r="O5" i="2"/>
  <c r="I5" i="13"/>
  <c r="G5" i="13"/>
  <c r="C5" i="13"/>
  <c r="B5" i="13"/>
  <c r="O6" i="2"/>
  <c r="I6" i="13"/>
  <c r="G6" i="13"/>
  <c r="C6" i="13"/>
  <c r="B6" i="13"/>
  <c r="O7" i="2"/>
  <c r="I7" i="13"/>
  <c r="G7" i="13"/>
  <c r="C7" i="13"/>
  <c r="B7" i="13"/>
  <c r="O8" i="2"/>
  <c r="I8" i="13"/>
  <c r="G8" i="13"/>
  <c r="C8" i="13"/>
  <c r="B8" i="13"/>
  <c r="O9" i="2"/>
  <c r="I9" i="13"/>
  <c r="G9" i="13"/>
  <c r="C9" i="13"/>
  <c r="B9" i="13"/>
  <c r="O10" i="2"/>
  <c r="I10" i="13"/>
  <c r="G10" i="13"/>
  <c r="C10" i="13"/>
  <c r="B10" i="13"/>
  <c r="O11" i="2"/>
  <c r="I11" i="13"/>
  <c r="G11" i="13"/>
  <c r="C11" i="13"/>
  <c r="B11" i="13"/>
  <c r="O12" i="2"/>
  <c r="I12" i="13"/>
  <c r="G12" i="13"/>
  <c r="C12" i="13"/>
  <c r="B12" i="13"/>
  <c r="O13" i="2"/>
  <c r="I13" i="13"/>
  <c r="G13" i="13"/>
  <c r="C13" i="13"/>
  <c r="B13" i="13"/>
  <c r="O14" i="2"/>
  <c r="I14" i="13"/>
  <c r="G14" i="13"/>
  <c r="C14" i="13"/>
  <c r="B14" i="13"/>
  <c r="O15" i="2"/>
  <c r="I15" i="13"/>
  <c r="G15" i="13"/>
  <c r="C15" i="13"/>
  <c r="B15" i="13"/>
  <c r="O16" i="2"/>
  <c r="I16" i="13"/>
  <c r="G16" i="13"/>
  <c r="C16" i="13"/>
  <c r="B16" i="13"/>
  <c r="O17" i="2"/>
  <c r="I17" i="13"/>
  <c r="G17" i="13"/>
  <c r="C17" i="13"/>
  <c r="B17" i="13"/>
  <c r="O18" i="2"/>
  <c r="I18" i="13"/>
  <c r="G18" i="13"/>
  <c r="C18" i="13"/>
  <c r="B18" i="13"/>
  <c r="O19" i="2"/>
  <c r="I19" i="13"/>
  <c r="G19" i="13"/>
  <c r="C19" i="13"/>
  <c r="B19" i="13"/>
  <c r="O20" i="2"/>
  <c r="I20" i="13"/>
  <c r="G20" i="13"/>
  <c r="C20" i="13"/>
  <c r="B20" i="13"/>
  <c r="O21" i="2"/>
  <c r="I21" i="13"/>
  <c r="G21" i="13"/>
  <c r="C21" i="13"/>
  <c r="B21" i="13"/>
  <c r="O22" i="2"/>
  <c r="I22" i="13"/>
  <c r="G22" i="13"/>
  <c r="C22" i="13"/>
  <c r="A52" i="13"/>
  <c r="C52" i="13"/>
  <c r="H52" i="13"/>
  <c r="H46" i="13"/>
  <c r="H45" i="13"/>
  <c r="D22" i="13"/>
  <c r="B22" i="13"/>
  <c r="O23" i="2"/>
  <c r="I23" i="13"/>
  <c r="G23" i="13"/>
  <c r="C23" i="13"/>
  <c r="B23" i="13"/>
  <c r="O24" i="2"/>
  <c r="O27" i="2"/>
  <c r="H4" i="14"/>
  <c r="H6" i="14"/>
  <c r="H7" i="14"/>
  <c r="H8" i="14"/>
  <c r="H9" i="14"/>
  <c r="H12" i="14"/>
  <c r="H13" i="14"/>
  <c r="H14" i="14"/>
  <c r="H16" i="14"/>
  <c r="H17" i="14"/>
  <c r="H18" i="14"/>
  <c r="H19" i="14"/>
  <c r="H20" i="14"/>
  <c r="K27" i="14"/>
  <c r="C30" i="14"/>
  <c r="I4" i="14"/>
  <c r="G4" i="14"/>
  <c r="C4" i="14"/>
  <c r="C39" i="14"/>
  <c r="D4" i="14"/>
  <c r="B4" i="14"/>
  <c r="E5" i="2"/>
  <c r="I5" i="14"/>
  <c r="G5" i="14"/>
  <c r="C5" i="14"/>
  <c r="D5" i="14"/>
  <c r="B5" i="14"/>
  <c r="E6" i="2"/>
  <c r="I6" i="14"/>
  <c r="G6" i="14"/>
  <c r="C6" i="14"/>
  <c r="D6" i="14"/>
  <c r="B6" i="14"/>
  <c r="E7" i="2"/>
  <c r="I7" i="14"/>
  <c r="G7" i="14"/>
  <c r="C7" i="14"/>
  <c r="D7" i="14"/>
  <c r="B7" i="14"/>
  <c r="E8" i="2"/>
  <c r="I8" i="14"/>
  <c r="G8" i="14"/>
  <c r="C8" i="14"/>
  <c r="D8" i="14"/>
  <c r="B8" i="14"/>
  <c r="E9" i="2"/>
  <c r="I9" i="14"/>
  <c r="G9" i="14"/>
  <c r="C9" i="14"/>
  <c r="D9" i="14"/>
  <c r="B9" i="14"/>
  <c r="E10" i="2"/>
  <c r="I10" i="14"/>
  <c r="G10" i="14"/>
  <c r="C10" i="14"/>
  <c r="D10" i="14"/>
  <c r="B10" i="14"/>
  <c r="E11" i="2"/>
  <c r="I11" i="14"/>
  <c r="G11" i="14"/>
  <c r="C11" i="14"/>
  <c r="D11" i="14"/>
  <c r="B11" i="14"/>
  <c r="E12" i="2"/>
  <c r="I12" i="14"/>
  <c r="G12" i="14"/>
  <c r="C12" i="14"/>
  <c r="D12" i="14"/>
  <c r="B12" i="14"/>
  <c r="E13" i="2"/>
  <c r="I13" i="14"/>
  <c r="G13" i="14"/>
  <c r="C13" i="14"/>
  <c r="D13" i="14"/>
  <c r="B13" i="14"/>
  <c r="E14" i="2"/>
  <c r="I14" i="14"/>
  <c r="G14" i="14"/>
  <c r="C14" i="14"/>
  <c r="D14" i="14"/>
  <c r="B14" i="14"/>
  <c r="E15" i="2"/>
  <c r="I15" i="14"/>
  <c r="G15" i="14"/>
  <c r="C15" i="14"/>
  <c r="D15" i="14"/>
  <c r="B15" i="14"/>
  <c r="E16" i="2"/>
  <c r="I16" i="14"/>
  <c r="G16" i="14"/>
  <c r="C16" i="14"/>
  <c r="D16" i="14"/>
  <c r="B16" i="14"/>
  <c r="E17" i="2"/>
  <c r="I17" i="14"/>
  <c r="G17" i="14"/>
  <c r="C17" i="14"/>
  <c r="D17" i="14"/>
  <c r="B17" i="14"/>
  <c r="E18" i="2"/>
  <c r="I18" i="14"/>
  <c r="G18" i="14"/>
  <c r="C18" i="14"/>
  <c r="D18" i="14"/>
  <c r="B18" i="14"/>
  <c r="E19" i="2"/>
  <c r="I19" i="14"/>
  <c r="G19" i="14"/>
  <c r="C19" i="14"/>
  <c r="D19" i="14"/>
  <c r="B19" i="14"/>
  <c r="E20" i="2"/>
  <c r="I20" i="14"/>
  <c r="G20" i="14"/>
  <c r="C20" i="14"/>
  <c r="D20" i="14"/>
  <c r="B20" i="14"/>
  <c r="E21" i="2"/>
  <c r="I21" i="14"/>
  <c r="G21" i="14"/>
  <c r="C21" i="14"/>
  <c r="D21" i="14"/>
  <c r="B21" i="14"/>
  <c r="E22" i="2"/>
  <c r="I22" i="14"/>
  <c r="G22" i="14"/>
  <c r="C22" i="14"/>
  <c r="D22" i="14"/>
  <c r="B22" i="14"/>
  <c r="E23" i="2"/>
  <c r="I23" i="14"/>
  <c r="G23" i="14"/>
  <c r="C23" i="14"/>
  <c r="D23" i="14"/>
  <c r="B23" i="14"/>
  <c r="E24" i="2"/>
  <c r="D24" i="14"/>
  <c r="B24" i="14"/>
  <c r="E25" i="2"/>
  <c r="E27" i="2"/>
  <c r="C4" i="15"/>
  <c r="C6" i="15"/>
  <c r="C7" i="15"/>
  <c r="C8" i="15"/>
  <c r="C9" i="15"/>
  <c r="C12" i="15"/>
  <c r="C13" i="15"/>
  <c r="C14" i="15"/>
  <c r="C16" i="15"/>
  <c r="C17" i="15"/>
  <c r="C18" i="15"/>
  <c r="C19" i="15"/>
  <c r="C22" i="15"/>
  <c r="D27" i="15"/>
  <c r="D29" i="15"/>
  <c r="D4" i="15"/>
  <c r="B4" i="15"/>
  <c r="P5" i="2"/>
  <c r="D5" i="15"/>
  <c r="B5" i="15"/>
  <c r="P6" i="2"/>
  <c r="D6" i="15"/>
  <c r="B6" i="15"/>
  <c r="P7" i="2"/>
  <c r="D7" i="15"/>
  <c r="B7" i="15"/>
  <c r="P8" i="2"/>
  <c r="D8" i="15"/>
  <c r="B8" i="15"/>
  <c r="P9" i="2"/>
  <c r="D9" i="15"/>
  <c r="B9" i="15"/>
  <c r="P10" i="2"/>
  <c r="D10" i="15"/>
  <c r="B10" i="15"/>
  <c r="P11" i="2"/>
  <c r="D11" i="15"/>
  <c r="B11" i="15"/>
  <c r="P12" i="2"/>
  <c r="D12" i="15"/>
  <c r="B12" i="15"/>
  <c r="P13" i="2"/>
  <c r="D13" i="15"/>
  <c r="B13" i="15"/>
  <c r="P14" i="2"/>
  <c r="D14" i="15"/>
  <c r="B14" i="15"/>
  <c r="P15" i="2"/>
  <c r="D15" i="15"/>
  <c r="B15" i="15"/>
  <c r="P16" i="2"/>
  <c r="D16" i="15"/>
  <c r="B16" i="15"/>
  <c r="P17" i="2"/>
  <c r="D17" i="15"/>
  <c r="B17" i="15"/>
  <c r="P18" i="2"/>
  <c r="D18" i="15"/>
  <c r="B18" i="15"/>
  <c r="P19" i="2"/>
  <c r="D19" i="15"/>
  <c r="B19" i="15"/>
  <c r="P20" i="2"/>
  <c r="D20" i="15"/>
  <c r="B20" i="15"/>
  <c r="P21" i="2"/>
  <c r="D21" i="15"/>
  <c r="B21" i="15"/>
  <c r="P22" i="2"/>
  <c r="D22" i="15"/>
  <c r="B22" i="15"/>
  <c r="P23" i="2"/>
  <c r="D23" i="15"/>
  <c r="B23" i="15"/>
  <c r="P24" i="2"/>
  <c r="P27" i="2"/>
  <c r="G4" i="15"/>
  <c r="G6" i="15"/>
  <c r="G7" i="15"/>
  <c r="G8" i="15"/>
  <c r="G9" i="15"/>
  <c r="G12" i="15"/>
  <c r="G13" i="15"/>
  <c r="G14" i="15"/>
  <c r="G16" i="15"/>
  <c r="G17" i="15"/>
  <c r="G18" i="15"/>
  <c r="G19" i="15"/>
  <c r="G22" i="15"/>
  <c r="H27" i="15"/>
  <c r="H29" i="15"/>
  <c r="H4" i="15"/>
  <c r="F4" i="15"/>
  <c r="Q5" i="2"/>
  <c r="H5" i="15"/>
  <c r="F5" i="15"/>
  <c r="Q6" i="2"/>
  <c r="H6" i="15"/>
  <c r="F6" i="15"/>
  <c r="Q7" i="2"/>
  <c r="H7" i="15"/>
  <c r="F7" i="15"/>
  <c r="Q8" i="2"/>
  <c r="H8" i="15"/>
  <c r="F8" i="15"/>
  <c r="Q9" i="2"/>
  <c r="H9" i="15"/>
  <c r="F9" i="15"/>
  <c r="Q10" i="2"/>
  <c r="H10" i="15"/>
  <c r="F10" i="15"/>
  <c r="Q11" i="2"/>
  <c r="H11" i="15"/>
  <c r="F11" i="15"/>
  <c r="Q12" i="2"/>
  <c r="H12" i="15"/>
  <c r="F12" i="15"/>
  <c r="Q13" i="2"/>
  <c r="H13" i="15"/>
  <c r="F13" i="15"/>
  <c r="Q14" i="2"/>
  <c r="H14" i="15"/>
  <c r="F14" i="15"/>
  <c r="Q15" i="2"/>
  <c r="H15" i="15"/>
  <c r="F15" i="15"/>
  <c r="Q16" i="2"/>
  <c r="H16" i="15"/>
  <c r="F16" i="15"/>
  <c r="Q17" i="2"/>
  <c r="H17" i="15"/>
  <c r="F17" i="15"/>
  <c r="Q18" i="2"/>
  <c r="H18" i="15"/>
  <c r="F18" i="15"/>
  <c r="Q19" i="2"/>
  <c r="H19" i="15"/>
  <c r="F19" i="15"/>
  <c r="Q20" i="2"/>
  <c r="H20" i="15"/>
  <c r="F20" i="15"/>
  <c r="Q21" i="2"/>
  <c r="H21" i="15"/>
  <c r="F21" i="15"/>
  <c r="Q22" i="2"/>
  <c r="H22" i="15"/>
  <c r="F22" i="15"/>
  <c r="Q23" i="2"/>
  <c r="H23" i="15"/>
  <c r="F23" i="15"/>
  <c r="Q24" i="2"/>
  <c r="Q27" i="2"/>
  <c r="B4" i="17"/>
  <c r="I5" i="2"/>
  <c r="B5" i="17"/>
  <c r="I6" i="2"/>
  <c r="B6" i="17"/>
  <c r="I7" i="2"/>
  <c r="B7" i="17"/>
  <c r="I8" i="2"/>
  <c r="B8" i="17"/>
  <c r="I9" i="2"/>
  <c r="B9" i="17"/>
  <c r="I10" i="2"/>
  <c r="B10" i="17"/>
  <c r="I11" i="2"/>
  <c r="B11" i="17"/>
  <c r="I12" i="2"/>
  <c r="B12" i="17"/>
  <c r="I13" i="2"/>
  <c r="B13" i="17"/>
  <c r="I14" i="2"/>
  <c r="B14" i="17"/>
  <c r="I15" i="2"/>
  <c r="B15" i="17"/>
  <c r="I16" i="2"/>
  <c r="B16" i="17"/>
  <c r="I17" i="2"/>
  <c r="B17" i="17"/>
  <c r="I18" i="2"/>
  <c r="B18" i="17"/>
  <c r="I19" i="2"/>
  <c r="B19" i="17"/>
  <c r="I20" i="2"/>
  <c r="B20" i="17"/>
  <c r="I21" i="2"/>
  <c r="B21" i="17"/>
  <c r="I22" i="2"/>
  <c r="B22" i="17"/>
  <c r="I23" i="2"/>
  <c r="B23" i="17"/>
  <c r="I24" i="2"/>
  <c r="B24" i="17"/>
  <c r="I25" i="2"/>
  <c r="I27" i="2"/>
  <c r="B25" i="2"/>
  <c r="H62" i="13"/>
  <c r="O52" i="13"/>
  <c r="O46" i="13"/>
  <c r="M56" i="13"/>
  <c r="N56" i="13"/>
  <c r="I52" i="13"/>
  <c r="J52" i="13"/>
  <c r="K52" i="13"/>
  <c r="L52" i="13"/>
  <c r="M52" i="13"/>
  <c r="N52" i="13"/>
  <c r="H53" i="13"/>
  <c r="O53" i="13"/>
  <c r="F29" i="2"/>
  <c r="Y5" i="2"/>
  <c r="Z5" i="2"/>
  <c r="X5" i="2"/>
  <c r="AD5" i="2"/>
  <c r="AD8" i="2"/>
  <c r="AD9" i="2"/>
  <c r="AD13" i="2"/>
  <c r="AD14" i="2"/>
  <c r="AD15" i="2"/>
  <c r="AD17" i="2"/>
  <c r="AD18" i="2"/>
  <c r="AD23" i="2"/>
  <c r="AD27" i="2"/>
  <c r="AD28" i="2"/>
  <c r="AE5" i="2"/>
  <c r="AC5" i="2"/>
  <c r="B28" i="11"/>
  <c r="G28" i="11"/>
  <c r="M28" i="2"/>
  <c r="B95" i="11"/>
  <c r="C95" i="11"/>
  <c r="I47" i="11"/>
  <c r="K47" i="11"/>
  <c r="M47" i="11"/>
  <c r="N47" i="11"/>
  <c r="O53" i="11"/>
  <c r="O47" i="11"/>
  <c r="C54" i="11"/>
  <c r="L54" i="11"/>
  <c r="D24" i="2"/>
  <c r="D25" i="2"/>
  <c r="D29" i="2"/>
  <c r="D33" i="10"/>
  <c r="C11" i="2"/>
  <c r="C12" i="2"/>
  <c r="C13" i="2"/>
  <c r="C16" i="2"/>
  <c r="C22" i="2"/>
  <c r="C24" i="2"/>
  <c r="C25" i="2"/>
  <c r="C29" i="9"/>
  <c r="K66" i="9"/>
  <c r="L44" i="9"/>
  <c r="Q66" i="9"/>
  <c r="R44" i="9"/>
  <c r="F43" i="9"/>
  <c r="G43" i="9"/>
  <c r="I43" i="9"/>
  <c r="J43" i="9"/>
  <c r="K43" i="9"/>
  <c r="L43" i="9"/>
  <c r="M43" i="9"/>
  <c r="N43" i="9"/>
  <c r="P43" i="9"/>
  <c r="Q43" i="9"/>
  <c r="R43" i="9"/>
  <c r="F4" i="9"/>
  <c r="D27" i="9"/>
  <c r="F22" i="9"/>
  <c r="E26" i="9"/>
  <c r="C26" i="9"/>
  <c r="F5" i="9"/>
  <c r="F6" i="9"/>
  <c r="F7" i="9"/>
  <c r="F8" i="9"/>
  <c r="F9" i="9"/>
  <c r="F10" i="9"/>
  <c r="C10" i="9"/>
  <c r="F11" i="9"/>
  <c r="C11" i="9"/>
  <c r="F12" i="9"/>
  <c r="C12" i="9"/>
  <c r="F13" i="9"/>
  <c r="F14" i="9"/>
  <c r="F15" i="9"/>
  <c r="C15" i="9"/>
  <c r="F16" i="9"/>
  <c r="F17" i="9"/>
  <c r="F18" i="9"/>
  <c r="F19" i="9"/>
  <c r="F20" i="9"/>
  <c r="F21" i="9"/>
  <c r="C21" i="9"/>
  <c r="F23" i="9"/>
  <c r="C23" i="9"/>
  <c r="F24" i="9"/>
  <c r="C24" i="9"/>
  <c r="F27" i="9"/>
  <c r="D32" i="9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F26" i="1"/>
  <c r="J26" i="1"/>
  <c r="J27" i="1"/>
  <c r="J11" i="1"/>
  <c r="J12" i="1"/>
  <c r="E16" i="1"/>
  <c r="D19" i="1"/>
  <c r="F19" i="1"/>
  <c r="J19" i="1"/>
  <c r="F20" i="1"/>
  <c r="G26" i="1"/>
  <c r="E26" i="1"/>
  <c r="E19" i="1"/>
  <c r="E27" i="1"/>
  <c r="AE26" i="2"/>
  <c r="AC26" i="2"/>
  <c r="G20" i="1"/>
  <c r="F31" i="1"/>
  <c r="J31" i="1"/>
  <c r="H9" i="1"/>
  <c r="H10" i="1"/>
  <c r="H12" i="1"/>
  <c r="H11" i="1"/>
  <c r="H14" i="1"/>
  <c r="H16" i="1"/>
  <c r="I16" i="1"/>
  <c r="N87" i="9"/>
  <c r="B88" i="9"/>
  <c r="C88" i="9"/>
  <c r="N88" i="9"/>
  <c r="C89" i="9"/>
  <c r="N89" i="9"/>
  <c r="C90" i="9"/>
  <c r="N90" i="9"/>
  <c r="N91" i="9"/>
  <c r="B86" i="9"/>
  <c r="C86" i="9"/>
  <c r="N86" i="9"/>
  <c r="G87" i="9"/>
  <c r="G88" i="9"/>
  <c r="G89" i="9"/>
  <c r="G90" i="9"/>
  <c r="G91" i="9"/>
  <c r="G86" i="9"/>
  <c r="D43" i="9"/>
  <c r="B67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D44" i="9"/>
  <c r="L42" i="9"/>
  <c r="R42" i="9"/>
  <c r="D42" i="9"/>
  <c r="B79" i="9"/>
  <c r="C79" i="9"/>
  <c r="D79" i="9"/>
  <c r="C80" i="9"/>
  <c r="D80" i="9"/>
  <c r="C81" i="9"/>
  <c r="D81" i="9"/>
  <c r="D82" i="9"/>
  <c r="G79" i="9"/>
  <c r="G80" i="9"/>
  <c r="G81" i="9"/>
  <c r="G82" i="9"/>
  <c r="B77" i="9"/>
  <c r="C68" i="9"/>
  <c r="E68" i="9"/>
  <c r="F68" i="9"/>
  <c r="G68" i="9"/>
  <c r="H68" i="9"/>
  <c r="J68" i="9"/>
  <c r="K68" i="9"/>
  <c r="L68" i="9"/>
  <c r="M68" i="9"/>
  <c r="N68" i="9"/>
  <c r="O68" i="9"/>
  <c r="P68" i="9"/>
  <c r="Q68" i="9"/>
  <c r="D68" i="9"/>
  <c r="H25" i="13"/>
  <c r="G25" i="13"/>
  <c r="M11" i="16"/>
  <c r="M5" i="16"/>
  <c r="J46" i="13"/>
  <c r="E48" i="11"/>
  <c r="F48" i="11"/>
  <c r="G48" i="11"/>
  <c r="H48" i="11"/>
  <c r="I48" i="11"/>
  <c r="J48" i="11"/>
  <c r="K48" i="11"/>
  <c r="L48" i="11"/>
  <c r="M48" i="11"/>
  <c r="N48" i="11"/>
  <c r="D48" i="11"/>
  <c r="B23" i="10"/>
  <c r="B24" i="10"/>
  <c r="C53" i="13"/>
  <c r="G62" i="13"/>
  <c r="C96" i="11"/>
  <c r="J24" i="10"/>
  <c r="H24" i="10"/>
  <c r="J23" i="10"/>
  <c r="H23" i="10"/>
  <c r="H27" i="10"/>
  <c r="H28" i="10"/>
  <c r="J27" i="10"/>
  <c r="C27" i="10"/>
  <c r="B27" i="10"/>
  <c r="K56" i="10"/>
  <c r="K55" i="10"/>
  <c r="K54" i="10"/>
  <c r="K53" i="10"/>
  <c r="D65" i="10"/>
  <c r="D66" i="10"/>
  <c r="D67" i="10"/>
  <c r="D62" i="10"/>
  <c r="D63" i="10"/>
  <c r="D64" i="10"/>
  <c r="L44" i="10"/>
  <c r="D17" i="10"/>
  <c r="E46" i="10"/>
  <c r="E44" i="10"/>
  <c r="F46" i="10"/>
  <c r="G46" i="10"/>
  <c r="H46" i="10"/>
  <c r="I46" i="10"/>
  <c r="J46" i="10"/>
  <c r="K46" i="10"/>
  <c r="D46" i="10"/>
  <c r="B62" i="10"/>
  <c r="C62" i="10"/>
  <c r="D7" i="10"/>
  <c r="Y23" i="2"/>
  <c r="Y11" i="2"/>
  <c r="Y6" i="2"/>
  <c r="P20" i="16"/>
  <c r="P15" i="16"/>
  <c r="P14" i="16"/>
  <c r="P12" i="16"/>
  <c r="P6" i="16"/>
  <c r="M20" i="16"/>
  <c r="M15" i="16"/>
  <c r="M14" i="16"/>
  <c r="M12" i="16"/>
  <c r="M6" i="16"/>
  <c r="J20" i="16"/>
  <c r="J15" i="16"/>
  <c r="J14" i="16"/>
  <c r="J12" i="16"/>
  <c r="J11" i="16"/>
  <c r="J6" i="16"/>
  <c r="G20" i="16"/>
  <c r="G15" i="16"/>
  <c r="G14" i="16"/>
  <c r="G12" i="16"/>
  <c r="G11" i="16"/>
  <c r="G6" i="16"/>
  <c r="D20" i="16"/>
  <c r="D15" i="16"/>
  <c r="D16" i="16"/>
  <c r="D17" i="16"/>
  <c r="D14" i="16"/>
  <c r="D12" i="16"/>
  <c r="D11" i="16"/>
  <c r="D6" i="16"/>
  <c r="D7" i="16"/>
  <c r="D5" i="16"/>
  <c r="Z12" i="2"/>
  <c r="Z16" i="2"/>
  <c r="Y18" i="2"/>
  <c r="Y19" i="2"/>
  <c r="Y20" i="2"/>
  <c r="Y17" i="2"/>
  <c r="Y15" i="2"/>
  <c r="Y14" i="2"/>
  <c r="Y13" i="2"/>
  <c r="Y8" i="2"/>
  <c r="Y9" i="2"/>
  <c r="Y10" i="2"/>
  <c r="Y7" i="2"/>
  <c r="Y29" i="2"/>
  <c r="V18" i="2"/>
  <c r="V19" i="2"/>
  <c r="V20" i="2"/>
  <c r="V17" i="2"/>
  <c r="V14" i="2"/>
  <c r="V15" i="2"/>
  <c r="V13" i="2"/>
  <c r="V8" i="2"/>
  <c r="V9" i="2"/>
  <c r="V10" i="2"/>
  <c r="V7" i="2"/>
  <c r="Y27" i="2"/>
  <c r="X26" i="2"/>
  <c r="X16" i="2"/>
  <c r="X12" i="2"/>
  <c r="S23" i="2"/>
  <c r="S18" i="2"/>
  <c r="S19" i="2"/>
  <c r="S20" i="2"/>
  <c r="S21" i="2"/>
  <c r="S17" i="2"/>
  <c r="S15" i="2"/>
  <c r="S14" i="2"/>
  <c r="S6" i="2"/>
  <c r="S7" i="2"/>
  <c r="S8" i="2"/>
  <c r="S9" i="2"/>
  <c r="S10" i="2"/>
  <c r="Z11" i="2"/>
  <c r="X11" i="2"/>
  <c r="Z21" i="2"/>
  <c r="X21" i="2"/>
  <c r="Z22" i="2"/>
  <c r="X22" i="2"/>
  <c r="Z23" i="2"/>
  <c r="X23" i="2"/>
  <c r="Z25" i="2"/>
  <c r="X25" i="2"/>
  <c r="Z24" i="2"/>
  <c r="X24" i="2"/>
  <c r="Z6" i="2"/>
  <c r="X6" i="2"/>
  <c r="Z13" i="2"/>
  <c r="X13" i="2"/>
  <c r="Z10" i="2"/>
  <c r="X10" i="2"/>
  <c r="Z20" i="2"/>
  <c r="X20" i="2"/>
  <c r="Z17" i="2"/>
  <c r="X17" i="2"/>
  <c r="Z19" i="2"/>
  <c r="Z9" i="2"/>
  <c r="X9" i="2"/>
  <c r="Z7" i="2"/>
  <c r="X7" i="2"/>
  <c r="Z8" i="2"/>
  <c r="X8" i="2"/>
  <c r="Z14" i="2"/>
  <c r="X14" i="2"/>
  <c r="Z18" i="2"/>
  <c r="X18" i="2"/>
  <c r="Z15" i="2"/>
  <c r="X15" i="2"/>
  <c r="X19" i="2"/>
  <c r="B23" i="18"/>
  <c r="X29" i="2"/>
  <c r="AE6" i="2"/>
  <c r="AC6" i="2"/>
  <c r="AE7" i="2"/>
  <c r="AC7" i="2"/>
  <c r="AE10" i="2"/>
  <c r="AC10" i="2"/>
  <c r="AE11" i="2"/>
  <c r="AC11" i="2"/>
  <c r="AE12" i="2"/>
  <c r="AC12" i="2"/>
  <c r="AE16" i="2"/>
  <c r="AC16" i="2"/>
  <c r="AE19" i="2"/>
  <c r="AC19" i="2"/>
  <c r="AE20" i="2"/>
  <c r="AC20" i="2"/>
  <c r="AE21" i="2"/>
  <c r="AC21" i="2"/>
  <c r="AE22" i="2"/>
  <c r="AC22" i="2"/>
  <c r="AE24" i="2"/>
  <c r="AC24" i="2"/>
  <c r="AE25" i="2"/>
  <c r="AC25" i="2"/>
  <c r="E2" i="16"/>
  <c r="C2" i="16"/>
  <c r="E3" i="16"/>
  <c r="C3" i="16"/>
  <c r="E4" i="16"/>
  <c r="C4" i="16"/>
  <c r="E8" i="16"/>
  <c r="C8" i="16"/>
  <c r="E9" i="16"/>
  <c r="C9" i="16"/>
  <c r="E10" i="16"/>
  <c r="C10" i="16"/>
  <c r="E13" i="16"/>
  <c r="C13" i="16"/>
  <c r="E18" i="16"/>
  <c r="C18" i="16"/>
  <c r="E19" i="16"/>
  <c r="C19" i="16"/>
  <c r="E21" i="16"/>
  <c r="C21" i="16"/>
  <c r="E22" i="16"/>
  <c r="C22" i="16"/>
  <c r="H2" i="16"/>
  <c r="F2" i="16"/>
  <c r="H3" i="16"/>
  <c r="F3" i="16"/>
  <c r="H4" i="16"/>
  <c r="F4" i="16"/>
  <c r="H5" i="16"/>
  <c r="F5" i="16"/>
  <c r="H7" i="16"/>
  <c r="F7" i="16"/>
  <c r="H8" i="16"/>
  <c r="F8" i="16"/>
  <c r="H9" i="16"/>
  <c r="F9" i="16"/>
  <c r="H10" i="16"/>
  <c r="F10" i="16"/>
  <c r="H13" i="16"/>
  <c r="F13" i="16"/>
  <c r="H16" i="16"/>
  <c r="F16" i="16"/>
  <c r="H17" i="16"/>
  <c r="F17" i="16"/>
  <c r="H18" i="16"/>
  <c r="F18" i="16"/>
  <c r="H19" i="16"/>
  <c r="F19" i="16"/>
  <c r="H21" i="16"/>
  <c r="F21" i="16"/>
  <c r="H22" i="16"/>
  <c r="F22" i="16"/>
  <c r="G31" i="1"/>
  <c r="E31" i="1"/>
  <c r="V5" i="2"/>
  <c r="S5" i="2"/>
  <c r="W6" i="2"/>
  <c r="U6" i="2"/>
  <c r="W11" i="2"/>
  <c r="U11" i="2"/>
  <c r="W12" i="2"/>
  <c r="U12" i="2"/>
  <c r="T12" i="2"/>
  <c r="R12" i="2"/>
  <c r="L12" i="2"/>
  <c r="J12" i="2"/>
  <c r="T13" i="2"/>
  <c r="R13" i="2"/>
  <c r="L13" i="2"/>
  <c r="J13" i="2"/>
  <c r="W16" i="2"/>
  <c r="U16" i="2"/>
  <c r="T16" i="2"/>
  <c r="R16" i="2"/>
  <c r="L16" i="2"/>
  <c r="J16" i="2"/>
  <c r="W21" i="2"/>
  <c r="U21" i="2"/>
  <c r="W22" i="2"/>
  <c r="U22" i="2"/>
  <c r="T22" i="2"/>
  <c r="R22" i="2"/>
  <c r="L22" i="2"/>
  <c r="J22" i="2"/>
  <c r="W23" i="2"/>
  <c r="U23" i="2"/>
  <c r="D22" i="10"/>
  <c r="W24" i="2"/>
  <c r="U24" i="2"/>
  <c r="T24" i="2"/>
  <c r="R24" i="2"/>
  <c r="L24" i="2"/>
  <c r="J24" i="2"/>
  <c r="W25" i="2"/>
  <c r="U25" i="2"/>
  <c r="T25" i="2"/>
  <c r="R25" i="2"/>
  <c r="R26" i="2"/>
  <c r="D38" i="9"/>
  <c r="I44" i="10"/>
  <c r="D4" i="10"/>
  <c r="H44" i="10"/>
  <c r="D8" i="10"/>
  <c r="F44" i="10"/>
  <c r="G44" i="10"/>
  <c r="D13" i="10"/>
  <c r="J44" i="10"/>
  <c r="D14" i="10"/>
  <c r="H54" i="13"/>
  <c r="H47" i="13"/>
  <c r="E62" i="13"/>
  <c r="E63" i="13"/>
  <c r="K54" i="13"/>
  <c r="I55" i="13"/>
  <c r="I47" i="13"/>
  <c r="O47" i="13"/>
  <c r="F39" i="13"/>
  <c r="D6" i="13"/>
  <c r="D7" i="13"/>
  <c r="D8" i="13"/>
  <c r="D9" i="13"/>
  <c r="D12" i="13"/>
  <c r="D13" i="13"/>
  <c r="J47" i="13"/>
  <c r="J45" i="13"/>
  <c r="D14" i="13"/>
  <c r="D15" i="13"/>
  <c r="L47" i="13"/>
  <c r="D17" i="13"/>
  <c r="D18" i="13"/>
  <c r="D19" i="13"/>
  <c r="D20" i="13"/>
  <c r="D21" i="13"/>
  <c r="G24" i="13"/>
  <c r="C24" i="13"/>
  <c r="B24" i="13"/>
  <c r="O25" i="2"/>
  <c r="K47" i="13"/>
  <c r="M55" i="13"/>
  <c r="M47" i="13"/>
  <c r="N55" i="13"/>
  <c r="N47" i="13"/>
  <c r="N54" i="13"/>
  <c r="D63" i="13"/>
  <c r="J58" i="13"/>
  <c r="J56" i="13"/>
  <c r="C63" i="13"/>
  <c r="J57" i="13"/>
  <c r="O57" i="13"/>
  <c r="C75" i="13"/>
  <c r="L75" i="13"/>
  <c r="C76" i="13"/>
  <c r="L76" i="13"/>
  <c r="L77" i="13"/>
  <c r="E65" i="11"/>
  <c r="C57" i="11"/>
  <c r="E66" i="11"/>
  <c r="L55" i="11"/>
  <c r="B24" i="15"/>
  <c r="P25" i="2"/>
  <c r="K46" i="11"/>
  <c r="D19" i="11"/>
  <c r="L25" i="11"/>
  <c r="C25" i="11"/>
  <c r="B25" i="11"/>
  <c r="Q25" i="11"/>
  <c r="H25" i="11"/>
  <c r="G25" i="11"/>
  <c r="F24" i="15"/>
  <c r="Q25" i="2"/>
  <c r="L25" i="2"/>
  <c r="J25" i="2"/>
  <c r="U26" i="2"/>
  <c r="J26" i="2"/>
  <c r="K11" i="2"/>
  <c r="J48" i="9"/>
  <c r="J51" i="9"/>
  <c r="G48" i="9"/>
  <c r="F51" i="9"/>
  <c r="G51" i="9"/>
  <c r="H35" i="11"/>
  <c r="H33" i="11"/>
  <c r="H27" i="12"/>
  <c r="C33" i="12"/>
  <c r="B24" i="16"/>
  <c r="K2" i="16"/>
  <c r="I2" i="16"/>
  <c r="N2" i="16"/>
  <c r="L2" i="16"/>
  <c r="Q2" i="16"/>
  <c r="O2" i="16"/>
  <c r="K3" i="16"/>
  <c r="I3" i="16"/>
  <c r="N3" i="16"/>
  <c r="L3" i="16"/>
  <c r="Q3" i="16"/>
  <c r="O3" i="16"/>
  <c r="K4" i="16"/>
  <c r="I4" i="16"/>
  <c r="N4" i="16"/>
  <c r="L4" i="16"/>
  <c r="Q4" i="16"/>
  <c r="O4" i="16"/>
  <c r="K5" i="16"/>
  <c r="I5" i="16"/>
  <c r="Q5" i="16"/>
  <c r="O5" i="16"/>
  <c r="K7" i="16"/>
  <c r="I7" i="16"/>
  <c r="N7" i="16"/>
  <c r="L7" i="16"/>
  <c r="Q7" i="16"/>
  <c r="O7" i="16"/>
  <c r="K8" i="16"/>
  <c r="I8" i="16"/>
  <c r="N8" i="16"/>
  <c r="L8" i="16"/>
  <c r="Q8" i="16"/>
  <c r="O8" i="16"/>
  <c r="K9" i="16"/>
  <c r="I9" i="16"/>
  <c r="N9" i="16"/>
  <c r="L9" i="16"/>
  <c r="Q9" i="16"/>
  <c r="O9" i="16"/>
  <c r="K10" i="16"/>
  <c r="I10" i="16"/>
  <c r="N10" i="16"/>
  <c r="L10" i="16"/>
  <c r="Q10" i="16"/>
  <c r="O10" i="16"/>
  <c r="Q11" i="16"/>
  <c r="O11" i="16"/>
  <c r="K13" i="16"/>
  <c r="I13" i="16"/>
  <c r="N13" i="16"/>
  <c r="L13" i="16"/>
  <c r="Q13" i="16"/>
  <c r="O13" i="16"/>
  <c r="K16" i="16"/>
  <c r="I16" i="16"/>
  <c r="N16" i="16"/>
  <c r="L16" i="16"/>
  <c r="Q16" i="16"/>
  <c r="O16" i="16"/>
  <c r="K17" i="16"/>
  <c r="I17" i="16"/>
  <c r="N17" i="16"/>
  <c r="L17" i="16"/>
  <c r="Q17" i="16"/>
  <c r="O17" i="16"/>
  <c r="K18" i="16"/>
  <c r="I18" i="16"/>
  <c r="N18" i="16"/>
  <c r="L18" i="16"/>
  <c r="Q18" i="16"/>
  <c r="O18" i="16"/>
  <c r="K19" i="16"/>
  <c r="I19" i="16"/>
  <c r="N19" i="16"/>
  <c r="L19" i="16"/>
  <c r="Q19" i="16"/>
  <c r="O19" i="16"/>
  <c r="K21" i="16"/>
  <c r="I21" i="16"/>
  <c r="N21" i="16"/>
  <c r="L21" i="16"/>
  <c r="Q21" i="16"/>
  <c r="O21" i="16"/>
  <c r="K22" i="16"/>
  <c r="I22" i="16"/>
  <c r="N22" i="16"/>
  <c r="L22" i="16"/>
  <c r="Q22" i="16"/>
  <c r="O22" i="16"/>
  <c r="C23" i="16"/>
  <c r="F23" i="16"/>
  <c r="I23" i="16"/>
  <c r="L23" i="16"/>
  <c r="O23" i="16"/>
  <c r="F32" i="13"/>
  <c r="B24" i="12"/>
  <c r="N25" i="2"/>
  <c r="N46" i="11"/>
  <c r="D9" i="11"/>
  <c r="D12" i="11"/>
  <c r="D15" i="11"/>
  <c r="D20" i="11"/>
  <c r="D21" i="11"/>
  <c r="G24" i="14"/>
  <c r="C24" i="14"/>
  <c r="J64" i="10"/>
  <c r="I54" i="13"/>
  <c r="G54" i="13"/>
  <c r="F54" i="13"/>
  <c r="E54" i="13"/>
  <c r="D54" i="13"/>
  <c r="E64" i="11"/>
  <c r="D35" i="10"/>
  <c r="P25" i="16"/>
  <c r="M25" i="16"/>
  <c r="J25" i="16"/>
  <c r="G25" i="16"/>
  <c r="D25" i="16"/>
  <c r="H34" i="15"/>
  <c r="D34" i="15"/>
  <c r="D32" i="15"/>
  <c r="C35" i="14"/>
  <c r="H77" i="13"/>
  <c r="B74" i="13"/>
  <c r="C74" i="13"/>
  <c r="H58" i="13"/>
  <c r="H55" i="13"/>
  <c r="G55" i="13"/>
  <c r="G47" i="13"/>
  <c r="F47" i="13"/>
  <c r="E47" i="13"/>
  <c r="D47" i="13"/>
  <c r="F34" i="13"/>
  <c r="I28" i="13"/>
  <c r="I114" i="11"/>
  <c r="H114" i="11"/>
  <c r="G114" i="11"/>
  <c r="F114" i="11"/>
  <c r="E114" i="11"/>
  <c r="D114" i="11"/>
  <c r="I113" i="11"/>
  <c r="H113" i="11"/>
  <c r="G113" i="11"/>
  <c r="F113" i="11"/>
  <c r="E113" i="11"/>
  <c r="D113" i="11"/>
  <c r="I112" i="11"/>
  <c r="H112" i="11"/>
  <c r="G112" i="11"/>
  <c r="F112" i="11"/>
  <c r="E112" i="11"/>
  <c r="D112" i="11"/>
  <c r="I111" i="11"/>
  <c r="H111" i="11"/>
  <c r="G111" i="11"/>
  <c r="F111" i="11"/>
  <c r="E111" i="11"/>
  <c r="D111" i="11"/>
  <c r="C107" i="11"/>
  <c r="C106" i="11"/>
  <c r="B105" i="11"/>
  <c r="C105" i="11"/>
  <c r="M101" i="11"/>
  <c r="L101" i="11"/>
  <c r="K101" i="11"/>
  <c r="H101" i="11"/>
  <c r="G101" i="11"/>
  <c r="E101" i="11"/>
  <c r="D101" i="11"/>
  <c r="C100" i="11"/>
  <c r="D100" i="11"/>
  <c r="H100" i="11"/>
  <c r="C99" i="11"/>
  <c r="L99" i="11"/>
  <c r="G99" i="11"/>
  <c r="B98" i="11"/>
  <c r="C98" i="11"/>
  <c r="H98" i="11"/>
  <c r="H90" i="11"/>
  <c r="E68" i="11"/>
  <c r="D68" i="11"/>
  <c r="C68" i="11"/>
  <c r="E67" i="11"/>
  <c r="D67" i="11"/>
  <c r="C67" i="11"/>
  <c r="D66" i="11"/>
  <c r="C66" i="11"/>
  <c r="D65" i="11"/>
  <c r="C58" i="11"/>
  <c r="F58" i="11"/>
  <c r="C65" i="11"/>
  <c r="C59" i="11"/>
  <c r="O61" i="11"/>
  <c r="C60" i="11"/>
  <c r="E60" i="11"/>
  <c r="O60" i="11"/>
  <c r="G60" i="11"/>
  <c r="D60" i="11"/>
  <c r="C35" i="11"/>
  <c r="C66" i="10"/>
  <c r="J65" i="10"/>
  <c r="C65" i="10"/>
  <c r="I65" i="10"/>
  <c r="B64" i="10"/>
  <c r="C64" i="10"/>
  <c r="J56" i="10"/>
  <c r="I56" i="10"/>
  <c r="H56" i="10"/>
  <c r="G56" i="10"/>
  <c r="F56" i="10"/>
  <c r="E56" i="10"/>
  <c r="C55" i="10"/>
  <c r="F55" i="10"/>
  <c r="C54" i="10"/>
  <c r="F54" i="10"/>
  <c r="B53" i="10"/>
  <c r="C53" i="10"/>
  <c r="Q72" i="9"/>
  <c r="O72" i="9"/>
  <c r="N72" i="9"/>
  <c r="M72" i="9"/>
  <c r="D72" i="9"/>
  <c r="L72" i="9"/>
  <c r="K72" i="9"/>
  <c r="J72" i="9"/>
  <c r="H72" i="9"/>
  <c r="G72" i="9"/>
  <c r="C71" i="9"/>
  <c r="K71" i="9"/>
  <c r="C70" i="9"/>
  <c r="G70" i="9"/>
  <c r="Q69" i="9"/>
  <c r="O69" i="9"/>
  <c r="N69" i="9"/>
  <c r="M69" i="9"/>
  <c r="D69" i="9"/>
  <c r="L69" i="9"/>
  <c r="K69" i="9"/>
  <c r="J69" i="9"/>
  <c r="H69" i="9"/>
  <c r="B69" i="9"/>
  <c r="C69" i="9"/>
  <c r="G69" i="9"/>
  <c r="E51" i="9"/>
  <c r="D50" i="9"/>
  <c r="C50" i="9"/>
  <c r="J50" i="9"/>
  <c r="C49" i="9"/>
  <c r="E49" i="9"/>
  <c r="B48" i="9"/>
  <c r="C48" i="9"/>
  <c r="D34" i="9"/>
  <c r="H39" i="7"/>
  <c r="H40" i="7"/>
  <c r="G40" i="7"/>
  <c r="F40" i="7"/>
  <c r="D39" i="7"/>
  <c r="D40" i="7"/>
  <c r="C39" i="7"/>
  <c r="C40" i="7"/>
  <c r="B39" i="7"/>
  <c r="B40" i="7"/>
  <c r="H35" i="7"/>
  <c r="C30" i="7"/>
  <c r="C35" i="7"/>
  <c r="H34" i="7"/>
  <c r="C34" i="7"/>
  <c r="D34" i="7"/>
  <c r="H33" i="7"/>
  <c r="C33" i="7"/>
  <c r="D33" i="7"/>
  <c r="B33" i="7"/>
  <c r="H32" i="7"/>
  <c r="C32" i="7"/>
  <c r="D32" i="7"/>
  <c r="B32" i="7"/>
  <c r="H31" i="7"/>
  <c r="C31" i="7"/>
  <c r="D31" i="7"/>
  <c r="H30" i="7"/>
  <c r="D30" i="7"/>
  <c r="D35" i="7"/>
  <c r="B30" i="7"/>
  <c r="H26" i="7"/>
  <c r="G26" i="7"/>
  <c r="F26" i="7"/>
  <c r="D26" i="7"/>
  <c r="C23" i="7"/>
  <c r="C26" i="7"/>
  <c r="B23" i="7"/>
  <c r="B26" i="7"/>
  <c r="C25" i="7"/>
  <c r="B25" i="7"/>
  <c r="C24" i="7"/>
  <c r="B24" i="7"/>
  <c r="H19" i="7"/>
  <c r="G19" i="7"/>
  <c r="F5" i="7"/>
  <c r="G5" i="7"/>
  <c r="F19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D19" i="7"/>
  <c r="C9" i="7"/>
  <c r="C19" i="7"/>
  <c r="B5" i="7"/>
  <c r="C5" i="7"/>
  <c r="B9" i="7"/>
  <c r="B19" i="7"/>
  <c r="D28" i="6"/>
  <c r="C28" i="6"/>
  <c r="K27" i="6"/>
  <c r="I27" i="6"/>
  <c r="D26" i="6"/>
  <c r="K25" i="6"/>
  <c r="I25" i="6"/>
  <c r="C24" i="6"/>
  <c r="J22" i="6"/>
  <c r="J23" i="6"/>
  <c r="J2" i="6"/>
  <c r="J12" i="6"/>
  <c r="K12" i="6"/>
  <c r="I23" i="6"/>
  <c r="J21" i="6"/>
  <c r="I20" i="6"/>
  <c r="D2" i="6"/>
  <c r="D18" i="6"/>
  <c r="E18" i="6"/>
  <c r="D20" i="6"/>
  <c r="E20" i="6"/>
  <c r="D15" i="6"/>
  <c r="E15" i="6"/>
  <c r="D13" i="6"/>
  <c r="E13" i="6"/>
  <c r="D7" i="6"/>
  <c r="E7" i="6"/>
  <c r="D6" i="6"/>
  <c r="E6" i="6"/>
  <c r="C5" i="6"/>
  <c r="C21" i="6"/>
  <c r="D3" i="6"/>
  <c r="E3" i="6"/>
  <c r="E21" i="6"/>
  <c r="D21" i="6"/>
  <c r="B68" i="5"/>
  <c r="B57" i="5"/>
  <c r="H20" i="5"/>
  <c r="H21" i="5"/>
  <c r="H7" i="5"/>
  <c r="K18" i="5"/>
  <c r="K19" i="5"/>
  <c r="B16" i="5"/>
  <c r="B17" i="5"/>
  <c r="B8" i="5"/>
  <c r="E14" i="5"/>
  <c r="E16" i="5"/>
  <c r="E7" i="5"/>
  <c r="E17" i="5"/>
  <c r="K7" i="5"/>
  <c r="J5" i="4"/>
  <c r="J6" i="4"/>
  <c r="J7" i="4"/>
  <c r="J8" i="4"/>
  <c r="J9" i="4"/>
  <c r="K9" i="4"/>
  <c r="J10" i="4"/>
  <c r="J11" i="4"/>
  <c r="K11" i="4"/>
  <c r="D12" i="4"/>
  <c r="L11" i="4"/>
  <c r="M11" i="4"/>
  <c r="H11" i="4"/>
  <c r="I11" i="4"/>
  <c r="F11" i="4"/>
  <c r="E11" i="4"/>
  <c r="L10" i="4"/>
  <c r="M10" i="4"/>
  <c r="K10" i="4"/>
  <c r="H10" i="4"/>
  <c r="I10" i="4"/>
  <c r="F10" i="4"/>
  <c r="G10" i="4"/>
  <c r="E10" i="4"/>
  <c r="B10" i="4"/>
  <c r="C10" i="4"/>
  <c r="L9" i="4"/>
  <c r="M9" i="4"/>
  <c r="L5" i="4"/>
  <c r="L6" i="4"/>
  <c r="L7" i="4"/>
  <c r="B7" i="4"/>
  <c r="C7" i="4"/>
  <c r="L8" i="4"/>
  <c r="M8" i="4"/>
  <c r="M12" i="4"/>
  <c r="H9" i="4"/>
  <c r="I9" i="4"/>
  <c r="F9" i="4"/>
  <c r="E9" i="4"/>
  <c r="K8" i="4"/>
  <c r="H8" i="4"/>
  <c r="F8" i="4"/>
  <c r="B8" i="4"/>
  <c r="C8" i="4"/>
  <c r="G8" i="4"/>
  <c r="E8" i="4"/>
  <c r="M7" i="4"/>
  <c r="K7" i="4"/>
  <c r="H7" i="4"/>
  <c r="I7" i="4"/>
  <c r="F7" i="4"/>
  <c r="G7" i="4"/>
  <c r="E7" i="4"/>
  <c r="E5" i="4"/>
  <c r="E6" i="4"/>
  <c r="E12" i="4"/>
  <c r="M6" i="4"/>
  <c r="K6" i="4"/>
  <c r="H6" i="4"/>
  <c r="I6" i="4"/>
  <c r="F6" i="4"/>
  <c r="G6" i="4"/>
  <c r="M5" i="4"/>
  <c r="K5" i="4"/>
  <c r="K12" i="4"/>
  <c r="H5" i="4"/>
  <c r="I5" i="4"/>
  <c r="F5" i="4"/>
  <c r="M4" i="4"/>
  <c r="K4" i="4"/>
  <c r="I4" i="4"/>
  <c r="G4" i="4"/>
  <c r="F2" i="4"/>
  <c r="B31" i="7"/>
  <c r="B27" i="15"/>
  <c r="E55" i="13"/>
  <c r="H75" i="13"/>
  <c r="F55" i="13"/>
  <c r="D55" i="13"/>
  <c r="E28" i="6"/>
  <c r="H12" i="4"/>
  <c r="K21" i="6"/>
  <c r="B6" i="4"/>
  <c r="C6" i="4"/>
  <c r="K2" i="6"/>
  <c r="B69" i="5"/>
  <c r="C31" i="12"/>
  <c r="B9" i="4"/>
  <c r="C9" i="4"/>
  <c r="M100" i="11"/>
  <c r="G100" i="11"/>
  <c r="E100" i="11"/>
  <c r="G9" i="4"/>
  <c r="D98" i="11"/>
  <c r="G98" i="11"/>
  <c r="H57" i="13"/>
  <c r="I8" i="4"/>
  <c r="B11" i="4"/>
  <c r="C11" i="4"/>
  <c r="G5" i="4"/>
  <c r="I54" i="10"/>
  <c r="D4" i="6"/>
  <c r="E4" i="6"/>
  <c r="H76" i="13"/>
  <c r="D8" i="6"/>
  <c r="E8" i="6"/>
  <c r="D10" i="6"/>
  <c r="E10" i="6"/>
  <c r="D12" i="6"/>
  <c r="E12" i="6"/>
  <c r="D14" i="6"/>
  <c r="E14" i="6"/>
  <c r="D16" i="6"/>
  <c r="E16" i="6"/>
  <c r="H32" i="15"/>
  <c r="H71" i="9"/>
  <c r="F49" i="9"/>
  <c r="G49" i="9"/>
  <c r="H25" i="14"/>
  <c r="C33" i="14"/>
  <c r="M71" i="9"/>
  <c r="D51" i="9"/>
  <c r="N70" i="9"/>
  <c r="Q70" i="9"/>
  <c r="J70" i="9"/>
  <c r="L70" i="9"/>
  <c r="D71" i="9"/>
  <c r="O71" i="9"/>
  <c r="G71" i="9"/>
  <c r="E50" i="9"/>
  <c r="J71" i="9"/>
  <c r="L71" i="9"/>
  <c r="G12" i="4"/>
  <c r="C12" i="4"/>
  <c r="J4" i="6"/>
  <c r="K4" i="6"/>
  <c r="L12" i="4"/>
  <c r="J12" i="4"/>
  <c r="H56" i="13"/>
  <c r="O56" i="13"/>
  <c r="J17" i="6"/>
  <c r="K17" i="6"/>
  <c r="J9" i="6"/>
  <c r="K9" i="6"/>
  <c r="J18" i="6"/>
  <c r="K18" i="6"/>
  <c r="J10" i="6"/>
  <c r="K10" i="6"/>
  <c r="J19" i="6"/>
  <c r="J15" i="6"/>
  <c r="K15" i="6"/>
  <c r="J7" i="6"/>
  <c r="K7" i="6"/>
  <c r="J11" i="6"/>
  <c r="K11" i="6"/>
  <c r="J3" i="6"/>
  <c r="J16" i="6"/>
  <c r="K16" i="6"/>
  <c r="J8" i="6"/>
  <c r="K8" i="6"/>
  <c r="J13" i="6"/>
  <c r="K13" i="6"/>
  <c r="J5" i="6"/>
  <c r="K5" i="6"/>
  <c r="J14" i="6"/>
  <c r="K14" i="6"/>
  <c r="J6" i="6"/>
  <c r="K6" i="6"/>
  <c r="I12" i="4"/>
  <c r="E26" i="6"/>
  <c r="D23" i="6"/>
  <c r="C26" i="6"/>
  <c r="F12" i="4"/>
  <c r="G11" i="4"/>
  <c r="K22" i="6"/>
  <c r="K23" i="6"/>
  <c r="B5" i="4"/>
  <c r="C5" i="4"/>
  <c r="N71" i="9"/>
  <c r="Q71" i="9"/>
  <c r="F60" i="11"/>
  <c r="H60" i="11"/>
  <c r="J60" i="11"/>
  <c r="D9" i="6"/>
  <c r="E9" i="6"/>
  <c r="D17" i="6"/>
  <c r="E17" i="6"/>
  <c r="D5" i="6"/>
  <c r="E5" i="6"/>
  <c r="E2" i="6"/>
  <c r="D11" i="6"/>
  <c r="E11" i="6"/>
  <c r="E98" i="11"/>
  <c r="K98" i="11"/>
  <c r="M46" i="11"/>
  <c r="D18" i="11"/>
  <c r="O48" i="11"/>
  <c r="C42" i="11"/>
  <c r="J58" i="11"/>
  <c r="H58" i="11"/>
  <c r="G58" i="11"/>
  <c r="D6" i="11"/>
  <c r="E23" i="6"/>
  <c r="E24" i="6"/>
  <c r="D24" i="6"/>
  <c r="B12" i="4"/>
  <c r="K3" i="6"/>
  <c r="K20" i="6"/>
  <c r="J20" i="6"/>
  <c r="I46" i="11"/>
  <c r="D4" i="11"/>
  <c r="O58" i="13"/>
  <c r="O55" i="13"/>
  <c r="O54" i="13"/>
  <c r="M54" i="13"/>
  <c r="K55" i="13"/>
  <c r="L54" i="13"/>
  <c r="E53" i="13"/>
  <c r="F53" i="13"/>
  <c r="F46" i="13"/>
  <c r="F45" i="13"/>
  <c r="N53" i="13"/>
  <c r="N46" i="13"/>
  <c r="N45" i="13"/>
  <c r="I53" i="13"/>
  <c r="I46" i="13"/>
  <c r="I45" i="13"/>
  <c r="D4" i="13"/>
  <c r="G53" i="13"/>
  <c r="G46" i="13"/>
  <c r="G45" i="13"/>
  <c r="L53" i="13"/>
  <c r="L46" i="13"/>
  <c r="L45" i="13"/>
  <c r="D16" i="13"/>
  <c r="D26" i="13"/>
  <c r="K53" i="13"/>
  <c r="K46" i="13"/>
  <c r="K45" i="13"/>
  <c r="M53" i="13"/>
  <c r="M46" i="13"/>
  <c r="M45" i="13"/>
  <c r="D53" i="13"/>
  <c r="L55" i="13"/>
  <c r="C25" i="13"/>
  <c r="B25" i="13"/>
  <c r="O26" i="2"/>
  <c r="D57" i="11"/>
  <c r="H57" i="11"/>
  <c r="F57" i="11"/>
  <c r="J57" i="11"/>
  <c r="G57" i="11"/>
  <c r="E57" i="11"/>
  <c r="H59" i="11"/>
  <c r="E59" i="11"/>
  <c r="J59" i="11"/>
  <c r="D59" i="11"/>
  <c r="F59" i="11"/>
  <c r="G59" i="11"/>
  <c r="E99" i="11"/>
  <c r="G55" i="11"/>
  <c r="D55" i="11"/>
  <c r="O55" i="11"/>
  <c r="M99" i="11"/>
  <c r="E55" i="11"/>
  <c r="H99" i="11"/>
  <c r="D58" i="11"/>
  <c r="K99" i="11"/>
  <c r="L100" i="11"/>
  <c r="H55" i="11"/>
  <c r="E54" i="11"/>
  <c r="G54" i="11"/>
  <c r="H54" i="11"/>
  <c r="J54" i="11"/>
  <c r="D54" i="11"/>
  <c r="F54" i="11"/>
  <c r="F55" i="11"/>
  <c r="E58" i="11"/>
  <c r="D99" i="11"/>
  <c r="K100" i="11"/>
  <c r="J55" i="11"/>
  <c r="C33" i="11"/>
  <c r="D12" i="10"/>
  <c r="D44" i="10"/>
  <c r="G55" i="10"/>
  <c r="I55" i="10"/>
  <c r="J54" i="10"/>
  <c r="H55" i="10"/>
  <c r="H65" i="10"/>
  <c r="J55" i="10"/>
  <c r="E54" i="10"/>
  <c r="D56" i="10"/>
  <c r="E55" i="10"/>
  <c r="H54" i="10"/>
  <c r="G54" i="10"/>
  <c r="I53" i="10"/>
  <c r="H53" i="10"/>
  <c r="F53" i="10"/>
  <c r="E53" i="10"/>
  <c r="J53" i="10"/>
  <c r="G53" i="10"/>
  <c r="I64" i="10"/>
  <c r="H64" i="10"/>
  <c r="D47" i="10"/>
  <c r="F48" i="9"/>
  <c r="E48" i="9"/>
  <c r="J49" i="9"/>
  <c r="D48" i="9"/>
  <c r="D70" i="9"/>
  <c r="H70" i="9"/>
  <c r="G50" i="9"/>
  <c r="O70" i="9"/>
  <c r="F50" i="9"/>
  <c r="D49" i="9"/>
  <c r="M70" i="9"/>
  <c r="K70" i="9"/>
  <c r="B23" i="16"/>
  <c r="K23" i="2"/>
  <c r="K6" i="2"/>
  <c r="K18" i="2"/>
  <c r="K7" i="2"/>
  <c r="K10" i="2"/>
  <c r="K14" i="2"/>
  <c r="K19" i="2"/>
  <c r="K8" i="2"/>
  <c r="K17" i="2"/>
  <c r="K20" i="2"/>
  <c r="K9" i="2"/>
  <c r="K21" i="2"/>
  <c r="K15" i="2"/>
  <c r="M28" i="16"/>
  <c r="V29" i="2"/>
  <c r="N26" i="16"/>
  <c r="J28" i="16"/>
  <c r="D28" i="16"/>
  <c r="B22" i="16"/>
  <c r="B19" i="16"/>
  <c r="E26" i="16"/>
  <c r="B21" i="16"/>
  <c r="V27" i="2"/>
  <c r="Q26" i="16"/>
  <c r="P28" i="16"/>
  <c r="K26" i="16"/>
  <c r="G26" i="15"/>
  <c r="B2" i="16"/>
  <c r="B9" i="16"/>
  <c r="G27" i="12"/>
  <c r="C27" i="17"/>
  <c r="C26" i="17"/>
  <c r="B13" i="16"/>
  <c r="C26" i="12"/>
  <c r="H26" i="16"/>
  <c r="B8" i="16"/>
  <c r="K5" i="2"/>
  <c r="B18" i="16"/>
  <c r="S27" i="2"/>
  <c r="B4" i="16"/>
  <c r="B3" i="16"/>
  <c r="B10" i="16"/>
  <c r="G28" i="16"/>
  <c r="N11" i="16"/>
  <c r="L11" i="16"/>
  <c r="N5" i="16"/>
  <c r="L5" i="16"/>
  <c r="E6" i="16"/>
  <c r="C6" i="16"/>
  <c r="E12" i="16"/>
  <c r="C12" i="16"/>
  <c r="W7" i="2"/>
  <c r="U7" i="2"/>
  <c r="N6" i="16"/>
  <c r="L6" i="16"/>
  <c r="D27" i="13"/>
  <c r="D46" i="13"/>
  <c r="D45" i="13"/>
  <c r="F38" i="13"/>
  <c r="E46" i="13"/>
  <c r="E45" i="13"/>
  <c r="H26" i="13"/>
  <c r="O58" i="11"/>
  <c r="O54" i="11"/>
  <c r="O59" i="11"/>
  <c r="O57" i="11"/>
  <c r="R27" i="11"/>
  <c r="D55" i="10"/>
  <c r="D54" i="10"/>
  <c r="D28" i="10"/>
  <c r="D27" i="10"/>
  <c r="D53" i="10"/>
  <c r="E27" i="9"/>
  <c r="N15" i="16"/>
  <c r="L15" i="16"/>
  <c r="E5" i="16"/>
  <c r="C5" i="16"/>
  <c r="W9" i="2"/>
  <c r="U9" i="2"/>
  <c r="W10" i="2"/>
  <c r="U10" i="2"/>
  <c r="W8" i="2"/>
  <c r="U8" i="2"/>
  <c r="S29" i="2"/>
  <c r="T7" i="2"/>
  <c r="R7" i="2"/>
  <c r="K20" i="16"/>
  <c r="I20" i="16"/>
  <c r="N14" i="16"/>
  <c r="L14" i="16"/>
  <c r="W20" i="2"/>
  <c r="U20" i="2"/>
  <c r="E14" i="16"/>
  <c r="C14" i="16"/>
  <c r="E20" i="16"/>
  <c r="C20" i="16"/>
  <c r="E11" i="16"/>
  <c r="C11" i="16"/>
  <c r="E16" i="16"/>
  <c r="C16" i="16"/>
  <c r="B16" i="16"/>
  <c r="E7" i="16"/>
  <c r="C7" i="16"/>
  <c r="B7" i="16"/>
  <c r="E15" i="16"/>
  <c r="C15" i="16"/>
  <c r="E17" i="16"/>
  <c r="C17" i="16"/>
  <c r="B17" i="16"/>
  <c r="H11" i="16"/>
  <c r="F11" i="16"/>
  <c r="W5" i="2"/>
  <c r="U5" i="2"/>
  <c r="W15" i="2"/>
  <c r="U15" i="2"/>
  <c r="W13" i="2"/>
  <c r="U13" i="2"/>
  <c r="W18" i="2"/>
  <c r="U18" i="2"/>
  <c r="W14" i="2"/>
  <c r="U14" i="2"/>
  <c r="N20" i="16"/>
  <c r="L20" i="16"/>
  <c r="N12" i="16"/>
  <c r="L12" i="16"/>
  <c r="AE17" i="2"/>
  <c r="AC17" i="2"/>
  <c r="W17" i="2"/>
  <c r="U17" i="2"/>
  <c r="W19" i="2"/>
  <c r="U19" i="2"/>
  <c r="H15" i="16"/>
  <c r="F15" i="16"/>
  <c r="K27" i="2"/>
  <c r="K29" i="2"/>
  <c r="AE9" i="2"/>
  <c r="AC9" i="2"/>
  <c r="AE13" i="2"/>
  <c r="AC13" i="2"/>
  <c r="AE15" i="2"/>
  <c r="AC15" i="2"/>
  <c r="AE23" i="2"/>
  <c r="AC23" i="2"/>
  <c r="AE8" i="2"/>
  <c r="AC8" i="2"/>
  <c r="AE14" i="2"/>
  <c r="AC14" i="2"/>
  <c r="AE18" i="2"/>
  <c r="AC18" i="2"/>
  <c r="H12" i="16"/>
  <c r="F12" i="16"/>
  <c r="H6" i="16"/>
  <c r="H14" i="16"/>
  <c r="F14" i="16"/>
  <c r="H20" i="16"/>
  <c r="F20" i="16"/>
  <c r="Q20" i="16"/>
  <c r="O20" i="16"/>
  <c r="Q12" i="16"/>
  <c r="O12" i="16"/>
  <c r="Q14" i="16"/>
  <c r="O14" i="16"/>
  <c r="Q15" i="16"/>
  <c r="O15" i="16"/>
  <c r="T11" i="2"/>
  <c r="R11" i="2"/>
  <c r="T14" i="2"/>
  <c r="R14" i="2"/>
  <c r="T15" i="2"/>
  <c r="R15" i="2"/>
  <c r="K6" i="16"/>
  <c r="K15" i="16"/>
  <c r="I15" i="16"/>
  <c r="K11" i="16"/>
  <c r="I11" i="16"/>
  <c r="K12" i="16"/>
  <c r="I12" i="16"/>
  <c r="K14" i="16"/>
  <c r="I14" i="16"/>
  <c r="Q6" i="16"/>
  <c r="T6" i="2"/>
  <c r="R6" i="2"/>
  <c r="L11" i="2"/>
  <c r="J11" i="2"/>
  <c r="C26" i="15"/>
  <c r="O45" i="13"/>
  <c r="C41" i="11"/>
  <c r="O49" i="11"/>
  <c r="O46" i="11"/>
  <c r="M27" i="11"/>
  <c r="T10" i="2"/>
  <c r="R10" i="2"/>
  <c r="T9" i="2"/>
  <c r="R9" i="2"/>
  <c r="T20" i="2"/>
  <c r="R20" i="2"/>
  <c r="T23" i="2"/>
  <c r="R23" i="2"/>
  <c r="T5" i="2"/>
  <c r="R5" i="2"/>
  <c r="T21" i="2"/>
  <c r="R21" i="2"/>
  <c r="T19" i="2"/>
  <c r="R19" i="2"/>
  <c r="T18" i="2"/>
  <c r="R18" i="2"/>
  <c r="T17" i="2"/>
  <c r="R17" i="2"/>
  <c r="D27" i="16"/>
  <c r="U27" i="2"/>
  <c r="T8" i="2"/>
  <c r="R8" i="2"/>
  <c r="L7" i="2"/>
  <c r="J7" i="2"/>
  <c r="B11" i="16"/>
  <c r="M27" i="16"/>
  <c r="L25" i="16"/>
  <c r="B20" i="16"/>
  <c r="L14" i="2"/>
  <c r="J14" i="2"/>
  <c r="B12" i="16"/>
  <c r="B15" i="16"/>
  <c r="B14" i="16"/>
  <c r="L5" i="2"/>
  <c r="J5" i="2"/>
  <c r="L8" i="2"/>
  <c r="J8" i="2"/>
  <c r="L21" i="2"/>
  <c r="J21" i="2"/>
  <c r="L18" i="2"/>
  <c r="J18" i="2"/>
  <c r="L10" i="2"/>
  <c r="J10" i="2"/>
  <c r="H26" i="14"/>
  <c r="H26" i="15"/>
  <c r="C28" i="10"/>
  <c r="L19" i="2"/>
  <c r="J19" i="2"/>
  <c r="B5" i="16"/>
  <c r="C25" i="16"/>
  <c r="L20" i="2"/>
  <c r="J20" i="2"/>
  <c r="AE29" i="2"/>
  <c r="L17" i="2"/>
  <c r="J17" i="2"/>
  <c r="I6" i="16"/>
  <c r="I25" i="16"/>
  <c r="J27" i="16"/>
  <c r="L15" i="2"/>
  <c r="J15" i="2"/>
  <c r="O6" i="16"/>
  <c r="O25" i="16"/>
  <c r="P27" i="16"/>
  <c r="L23" i="2"/>
  <c r="J23" i="2"/>
  <c r="L6" i="2"/>
  <c r="J6" i="2"/>
  <c r="L9" i="2"/>
  <c r="J9" i="2"/>
  <c r="F6" i="16"/>
  <c r="G27" i="16"/>
  <c r="D27" i="17"/>
  <c r="G26" i="13"/>
  <c r="S27" i="11"/>
  <c r="AC29" i="2"/>
  <c r="B29" i="10"/>
  <c r="B28" i="10"/>
  <c r="R27" i="2"/>
  <c r="U29" i="2"/>
  <c r="D28" i="11"/>
  <c r="D27" i="11"/>
  <c r="F25" i="16"/>
  <c r="B25" i="16"/>
  <c r="B6" i="16"/>
  <c r="G26" i="14"/>
  <c r="G29" i="13"/>
  <c r="Q27" i="11"/>
  <c r="Q29" i="11"/>
  <c r="F26" i="15"/>
  <c r="B27" i="17"/>
  <c r="J27" i="2"/>
  <c r="R29" i="2"/>
  <c r="I29" i="2"/>
  <c r="B26" i="15"/>
  <c r="D26" i="15"/>
  <c r="N27" i="11"/>
  <c r="J29" i="2"/>
  <c r="C26" i="13"/>
  <c r="B26" i="13"/>
  <c r="C27" i="13"/>
  <c r="Q29" i="2"/>
  <c r="H28" i="11"/>
  <c r="H27" i="11"/>
  <c r="G27" i="11"/>
  <c r="G29" i="11"/>
  <c r="C28" i="14"/>
  <c r="C26" i="14"/>
  <c r="AA29" i="2"/>
  <c r="L27" i="11"/>
  <c r="L29" i="11"/>
  <c r="B28" i="14"/>
  <c r="D28" i="14"/>
  <c r="D26" i="14"/>
  <c r="B26" i="14"/>
  <c r="B27" i="13"/>
  <c r="B29" i="13"/>
  <c r="P29" i="2"/>
  <c r="O29" i="2"/>
  <c r="C27" i="11"/>
  <c r="B27" i="11"/>
  <c r="C28" i="11"/>
  <c r="B29" i="11"/>
  <c r="E29" i="2"/>
  <c r="M29" i="2"/>
  <c r="D26" i="12"/>
  <c r="B26" i="12"/>
  <c r="N29" i="2"/>
  <c r="B29" i="2"/>
  <c r="H25" i="1"/>
  <c r="H26" i="1"/>
  <c r="H19" i="1"/>
  <c r="H20" i="1"/>
  <c r="H24" i="1"/>
  <c r="H23" i="1"/>
  <c r="H22" i="1"/>
  <c r="H21" i="1"/>
  <c r="E33" i="1"/>
  <c r="H30" i="1"/>
</calcChain>
</file>

<file path=xl/sharedStrings.xml><?xml version="1.0" encoding="utf-8"?>
<sst xmlns="http://schemas.openxmlformats.org/spreadsheetml/2006/main" count="1463" uniqueCount="455">
  <si>
    <t>Dernière mise à jour :</t>
  </si>
  <si>
    <t>STATUT 2018</t>
  </si>
  <si>
    <t>1/ MARCHE Français</t>
  </si>
  <si>
    <t>MONTANT EN € HT</t>
  </si>
  <si>
    <t>INTERPROFESSIONS</t>
  </si>
  <si>
    <t>FranceAgriMer</t>
  </si>
  <si>
    <t>DISTRI VINS TRANQUILLES FRANCE Y COMPRIS PROXI</t>
  </si>
  <si>
    <t>DISTRI VINS TRANQUILLES ET EFFERVESCENTS UK</t>
  </si>
  <si>
    <t>DISTRI VINS TRANQUILLES ET EFFERVESCENTS Allemagne</t>
  </si>
  <si>
    <t>CONSO VINS TRANQUILLES ET EFFERVESCENTS France</t>
  </si>
  <si>
    <t>CONSO VINS TRANQUILLES ET EFFERVESCENTS Allemagne</t>
  </si>
  <si>
    <t>SOUS TOTAL PANELS</t>
  </si>
  <si>
    <t>CNIV</t>
  </si>
  <si>
    <t>GTI</t>
  </si>
  <si>
    <t>MONOPOLES</t>
  </si>
  <si>
    <t>TOTAL GENERAL en € HT</t>
  </si>
  <si>
    <t>Remarques :</t>
  </si>
  <si>
    <r>
      <t>1</t>
    </r>
    <r>
      <rPr>
        <sz val="10"/>
        <color rgb="FF000000"/>
        <rFont val="Calibri"/>
        <family val="2"/>
        <charset val="1"/>
      </rPr>
      <t>Les outils de panels sont facturées directement aux comités par les prestataires. Les études mutualisées au CNIV sont contractualisées au nom du CNIV et facturées au CNIV</t>
    </r>
  </si>
  <si>
    <t>CIVA</t>
  </si>
  <si>
    <t>INTERBEAUJOLAIS</t>
  </si>
  <si>
    <t>IVBD</t>
  </si>
  <si>
    <t>CIVB</t>
  </si>
  <si>
    <t>BIVB</t>
  </si>
  <si>
    <t>UIVC</t>
  </si>
  <si>
    <t>BIVC</t>
  </si>
  <si>
    <t>CIVCORSE</t>
  </si>
  <si>
    <t>CIVC</t>
  </si>
  <si>
    <t>CIVL</t>
  </si>
  <si>
    <t>INTERLOIRE</t>
  </si>
  <si>
    <t>CNPC</t>
  </si>
  <si>
    <t>CIVP</t>
  </si>
  <si>
    <t>INTERRHONE</t>
  </si>
  <si>
    <t>CIVR</t>
  </si>
  <si>
    <t>IVSO</t>
  </si>
  <si>
    <t>INTERVINS SUD EST</t>
  </si>
  <si>
    <t>CIVS</t>
  </si>
  <si>
    <t>INTER OC</t>
  </si>
  <si>
    <t>JURA</t>
  </si>
  <si>
    <t>IGP LOIRE</t>
  </si>
  <si>
    <t>ANIVIN</t>
  </si>
  <si>
    <t>Contrôle</t>
  </si>
  <si>
    <t>INTERPROFESSIONS</t>
  </si>
  <si>
    <t>IRI VT FR</t>
  </si>
  <si>
    <t>IRI FR EFF</t>
  </si>
  <si>
    <t>IRI UK</t>
  </si>
  <si>
    <t>IRI ALL</t>
  </si>
  <si>
    <t>IRI PB</t>
  </si>
  <si>
    <t>KANTAR</t>
  </si>
  <si>
    <t>GfK BE</t>
  </si>
  <si>
    <t>GfK ALL</t>
  </si>
  <si>
    <t>MONTANT OUTIL TOTAL</t>
  </si>
  <si>
    <t>MONTANT OUTIL CNIV AVEC OPTIONS</t>
  </si>
  <si>
    <t>MONTANT OUTIL FranceAgriMer SANS OPTIONS</t>
  </si>
  <si>
    <t>Interprofessions</t>
  </si>
  <si>
    <t>IVDL</t>
  </si>
  <si>
    <t>CIVJ</t>
  </si>
  <si>
    <t>TOTAL MONOPOLES</t>
  </si>
  <si>
    <t>ONTARIO</t>
  </si>
  <si>
    <t>QUEBEC</t>
  </si>
  <si>
    <t>CB</t>
  </si>
  <si>
    <t>SUEDE</t>
  </si>
  <si>
    <t>NORVEGE</t>
  </si>
  <si>
    <t>Base 2013</t>
  </si>
  <si>
    <t>2014 en €</t>
  </si>
  <si>
    <t>HT</t>
  </si>
  <si>
    <t>TTC</t>
  </si>
  <si>
    <t>Bordeaux</t>
  </si>
  <si>
    <t>Bourgogne</t>
  </si>
  <si>
    <t>Champagne</t>
  </si>
  <si>
    <t>Loire</t>
  </si>
  <si>
    <t>Provence</t>
  </si>
  <si>
    <t>Rhône</t>
  </si>
  <si>
    <t>Inter Oc</t>
  </si>
  <si>
    <t>TOTAL GENERAL</t>
  </si>
  <si>
    <t>DISTRI France  VINS TRANQUILLES</t>
  </si>
  <si>
    <t>DISTRI France  VINS EFFERVESCENTS</t>
  </si>
  <si>
    <t>LOT  4 VINS TRANQUILLES PAYS BAS</t>
  </si>
  <si>
    <t>Remise de prix incluse</t>
  </si>
  <si>
    <t>Prix en € HT</t>
  </si>
  <si>
    <t>TOTAL</t>
  </si>
  <si>
    <t>PRESTATION DE BASE</t>
  </si>
  <si>
    <t>Total HT</t>
  </si>
  <si>
    <t>Abonnement (e-commerce inclus) + 28 licences</t>
  </si>
  <si>
    <t>Abonnements dont 1 ligne tranche de prix</t>
  </si>
  <si>
    <t>Abonnements</t>
  </si>
  <si>
    <t>FM + 2 PRESENTATIONS</t>
  </si>
  <si>
    <t>FM + 1 PRESENTATIONS</t>
  </si>
  <si>
    <t>TRANCHES DE PRIX - 192 lignes</t>
  </si>
  <si>
    <t>TOTAL PRESTATION DE BASE</t>
  </si>
  <si>
    <t>OPTIONS MUTUALISEES</t>
  </si>
  <si>
    <t>Prix unitaire</t>
  </si>
  <si>
    <t>OPTIONS</t>
  </si>
  <si>
    <t>Prix</t>
  </si>
  <si>
    <t>Vues Bio, Agrégats AOP et AOC Crémant</t>
  </si>
  <si>
    <t>Mise à disposition Région + fines 2000 €</t>
  </si>
  <si>
    <t>maintien en ligne base historique 1 131 €</t>
  </si>
  <si>
    <t>20 Régions CNIV</t>
  </si>
  <si>
    <t>Détail des TDP 500€ modification payable uniquement sur 2014</t>
  </si>
  <si>
    <t>2014 : mise en place des régions (payable 1 fois) 2000€</t>
  </si>
  <si>
    <t>Graphiques complémentaires 1 600 €</t>
  </si>
  <si>
    <t>Détail des types de linéaires 6419 € HT /an</t>
  </si>
  <si>
    <t>18 Régions CNIV</t>
  </si>
  <si>
    <t>Tranches de prix - lignes complémentaires 10 premières lignes 9 274€</t>
  </si>
  <si>
    <t>Prix moyen arithmétique 795 € HT /an</t>
  </si>
  <si>
    <t>Détail types de promotions</t>
  </si>
  <si>
    <t>Graphiques complémentaires + graphiques Champagne et effervescents 2000€</t>
  </si>
  <si>
    <t>Tranches de prix - lignes complémentaires 1 à 20 lignes 359 €/ligne</t>
  </si>
  <si>
    <t>Base historique &gt; 5 ans 1131 €HT/Base</t>
  </si>
  <si>
    <t>Tranches de prix - lignes complémentaires 1 à 20 lignes 442€/ligne</t>
  </si>
  <si>
    <t>Tranches de prix - lignes complémentaires 10 premières lignes 9169,00€</t>
  </si>
  <si>
    <t>Tranches de prix - lignes complémentaires 1 à 20 lignes - HISTO (60%) 215,40 €/ligne</t>
  </si>
  <si>
    <t>Mise à disposition des graphiques complémentaires 5 600 € HT /an</t>
  </si>
  <si>
    <t>Tranches de prix - lignes complémentaires 1 à 20 lignes - HISTO</t>
  </si>
  <si>
    <t>Tranches de prix - lignes complémentaires 1 à 20 lignes 379€/ligne</t>
  </si>
  <si>
    <t>Tranches de prix - lignes complémentaires 20 à 40 lignes 322€/ligne</t>
  </si>
  <si>
    <t>Total options retenues</t>
  </si>
  <si>
    <t>Total options</t>
  </si>
  <si>
    <t>Tranches de prix - lignes complémentaires 1 à 20 lignes - HISTO (60%) 227,40 €/ligne</t>
  </si>
  <si>
    <t>Tranches de prix - lignes complémentaires 20 à 40 lignes - HISTO 193,20 €/ligne</t>
  </si>
  <si>
    <t>TOTAL PANELS</t>
  </si>
  <si>
    <t>Tranches de prix - lignes complémentaires 20 à 40 lignes 341 €/ligne</t>
  </si>
  <si>
    <t>ETUDES SPECIALES 5500€ /étude</t>
  </si>
  <si>
    <t>Tranches de prix - lignes complémentaires 20 à 40 lignes - HISTO 204,60 €/ligne</t>
  </si>
  <si>
    <t>Options à souscrire individuellement</t>
  </si>
  <si>
    <t>ETUDES SPECIALES 8500€ /étude</t>
  </si>
  <si>
    <t>6 Bases AD HOC Additionnelles 3500€/base</t>
  </si>
  <si>
    <t>Ajout département 550 € HT/Dpt</t>
  </si>
  <si>
    <t>ligne de TDP 1 à 20 lignes 359 € / ligne en 2014 et 235 € pour historique 2013</t>
  </si>
  <si>
    <t>359,00 € l'une</t>
  </si>
  <si>
    <t>Présentation en région + forfait déplacement</t>
  </si>
  <si>
    <t>Ajout département 850 € HT/Dpt</t>
  </si>
  <si>
    <t>Reporting graphiques FM</t>
  </si>
  <si>
    <t>Ajout Bourgogne sans Nièvre 850€ HT</t>
  </si>
  <si>
    <t>LOT  3 VINS TRANQUILLES ET EFFERVESCENTS UK</t>
  </si>
  <si>
    <t>Mission Economie</t>
  </si>
  <si>
    <t>Taux</t>
  </si>
  <si>
    <t>MOYENNE</t>
  </si>
  <si>
    <t>Graphiques complémentaires 1 800 €</t>
  </si>
  <si>
    <t>Grille CNIV</t>
  </si>
  <si>
    <t>*TVA à 20%</t>
  </si>
  <si>
    <t>Grille Etudes</t>
  </si>
  <si>
    <t>OUTIL</t>
  </si>
  <si>
    <t>Etudes Monographies vins</t>
  </si>
  <si>
    <t>Alsace</t>
  </si>
  <si>
    <t>Beaujolais</t>
  </si>
  <si>
    <t>CIVRB</t>
  </si>
  <si>
    <t>Bergerac</t>
  </si>
  <si>
    <t>Cahors</t>
  </si>
  <si>
    <t>Centre</t>
  </si>
  <si>
    <t>Corse</t>
  </si>
  <si>
    <t>Languedoc</t>
  </si>
  <si>
    <t>Pineau Charentes</t>
  </si>
  <si>
    <t>Roussillon</t>
  </si>
  <si>
    <t>Sud Ouest</t>
  </si>
  <si>
    <t>Savoie</t>
  </si>
  <si>
    <t>Forfait</t>
  </si>
  <si>
    <t>-</t>
  </si>
  <si>
    <t>TOTAL INTERPROFESSIONS 1</t>
  </si>
  <si>
    <t>TOTLA INTERPROFESSIONS 2</t>
  </si>
  <si>
    <t>MONTANT TOTAL</t>
  </si>
  <si>
    <t>* TVA à 20%</t>
  </si>
  <si>
    <t>BUDGET HORS SOUCRIPTIONS INDIVIDUELLES SPECIFIQUES SUR LES PANELS</t>
  </si>
  <si>
    <t>CNIV*</t>
  </si>
  <si>
    <t>TTC 20 %</t>
  </si>
  <si>
    <t>TTC 19,6%</t>
  </si>
  <si>
    <t>* hors études mutualisées comités</t>
  </si>
  <si>
    <t>MONTANT 2014 EN € HT</t>
  </si>
  <si>
    <t>MONTANT 2013 EN € HT</t>
  </si>
  <si>
    <t>PANELS</t>
  </si>
  <si>
    <t>DISTRI VINS TRANQUILLES FR</t>
  </si>
  <si>
    <t>DISTRI VINS EFFE FR</t>
  </si>
  <si>
    <t>DISTRI VINS TRANQUILLES PB</t>
  </si>
  <si>
    <t>CONSO VINS TRANQUILLES ET EFFE FR</t>
  </si>
  <si>
    <t>CONSO VINS TRANQUILLES ET EFFE BE</t>
  </si>
  <si>
    <t>CONSO VINS TRANQUILLES ET EFFERVESCENTS Danemark</t>
  </si>
  <si>
    <t>DISTRI VINS EFFERVESCENTS TRANQUILLES SUISSE</t>
  </si>
  <si>
    <t>Montant FranceAgriMer inclus 50 % subvention UE</t>
  </si>
  <si>
    <t>ETUDES MUTUALISEES CNIV</t>
  </si>
  <si>
    <t>ETUDE RESTAURATION USA</t>
  </si>
  <si>
    <r>
      <t>30 000,00€</t>
    </r>
    <r>
      <rPr>
        <sz val="11"/>
        <color rgb="FFFF0000"/>
        <rFont val="Calibri"/>
        <family val="2"/>
        <charset val="1"/>
      </rPr>
      <t>**</t>
    </r>
  </si>
  <si>
    <t>30 000,00€**</t>
  </si>
  <si>
    <t>ETUDE RESTAURATION France</t>
  </si>
  <si>
    <t>SOUS TOTAL ETUDES MUTUALISEES</t>
  </si>
  <si>
    <t>MONTANT 2014</t>
  </si>
  <si>
    <t>MONTANT 2013</t>
  </si>
  <si>
    <t>DEVISES</t>
  </si>
  <si>
    <t>€ HT</t>
  </si>
  <si>
    <t>€ TTC</t>
  </si>
  <si>
    <t>MONOPOLE ONTARIO</t>
  </si>
  <si>
    <t>MONOPOLE QUEBEC</t>
  </si>
  <si>
    <t>MONOPOLE CB</t>
  </si>
  <si>
    <t>MONOPOLE SUEDE</t>
  </si>
  <si>
    <t>MONOPOLE NORVEGE</t>
  </si>
  <si>
    <t>SOUS TOTAL MONOPOLES</t>
  </si>
  <si>
    <t>** Subvention touchée et reversée à postériori</t>
  </si>
  <si>
    <t>MONTANT 20143EN € HT</t>
  </si>
  <si>
    <t>ETUDES MUTUALISEES COMITES</t>
  </si>
  <si>
    <t>EUROMONITOR</t>
  </si>
  <si>
    <t>SOUS TOTAL ETUDES MUTUALISEES COMITES</t>
  </si>
  <si>
    <t>WINE INTELLIGENCE</t>
  </si>
  <si>
    <t>Total</t>
  </si>
  <si>
    <t>Montant mutualisé</t>
  </si>
  <si>
    <t>Montant partagé</t>
  </si>
  <si>
    <t>Nb comités</t>
  </si>
  <si>
    <t>IRI France Vins tranquilles</t>
  </si>
  <si>
    <t>Grille IRI FR VT</t>
  </si>
  <si>
    <t>MONTANT MUTUALISE AVEC FranceAgriMer</t>
  </si>
  <si>
    <t>OPTIONS INDIVIDUELLES</t>
  </si>
  <si>
    <t>Nbe comités</t>
  </si>
  <si>
    <t>Coût prestation de base CNIV/FranceAgriMer</t>
  </si>
  <si>
    <t>HT 2018</t>
  </si>
  <si>
    <t>Prix initial 2018 HT</t>
  </si>
  <si>
    <t>Prix initial 2018 TTC</t>
  </si>
  <si>
    <t>Options individuelles comités € HT - Détail ci-dessous</t>
  </si>
  <si>
    <t>Base spécifique&amp;géographie département</t>
  </si>
  <si>
    <t>TOTAL OPTIONS INDIVIDUELLES PANEL France VINS TRANQUILLES</t>
  </si>
  <si>
    <t>MONTANT A PAYER HT</t>
  </si>
  <si>
    <t>1/Sous total base spécifique et département</t>
  </si>
  <si>
    <t>1/TDP BIB ET INDIVIDUELLES</t>
  </si>
  <si>
    <t>Comité</t>
  </si>
  <si>
    <t>Indexation</t>
  </si>
  <si>
    <t>Prix unitaire € HT</t>
  </si>
  <si>
    <t>RHONE</t>
  </si>
  <si>
    <t>LOIRE</t>
  </si>
  <si>
    <t>Nombre de lignes TDP</t>
  </si>
  <si>
    <t>15 (dont 6 communes)</t>
  </si>
  <si>
    <t>Détail des TDP souscrites</t>
  </si>
  <si>
    <t>Communes au  CIVB/INTERRHONE/CIVL</t>
  </si>
  <si>
    <t>Intitulé des lignes</t>
  </si>
  <si>
    <t>BIB AOP rouge(&lt;=5l)</t>
  </si>
  <si>
    <t>BIB total Bdx (&lt;=5l)</t>
  </si>
  <si>
    <t>BIB CDR Régionaux rouges</t>
  </si>
  <si>
    <t>BIB IGP Dép. Aude Hérault Gard rouge &lt;=5 l</t>
  </si>
  <si>
    <t>75 Cl Pinot noir</t>
  </si>
  <si>
    <t>BIB AOP blanc(&lt;=5l)</t>
  </si>
  <si>
    <t>BIB total Bdx rouge(&lt;=5l)</t>
  </si>
  <si>
    <t>BIB CDR Régionaux rosés</t>
  </si>
  <si>
    <t>BIB IGP Dép. Aude Hérault Gard rosé &lt;=5 l</t>
  </si>
  <si>
    <t>75 Cl Pinot blanc</t>
  </si>
  <si>
    <t>BIB AOP rosé(&lt;=5l)</t>
  </si>
  <si>
    <t>BIB total Bdx blanc(&lt;=5l)</t>
  </si>
  <si>
    <t>75 cl Ventoux rosé</t>
  </si>
  <si>
    <t>75 Cl Pinot gris</t>
  </si>
  <si>
    <t>BIB IGP rouge(&lt;=5l)</t>
  </si>
  <si>
    <t>BIB total Bdx rosé(&lt;=5l)</t>
  </si>
  <si>
    <t>75 cl luberon rosé</t>
  </si>
  <si>
    <t>BIB IGP blanc(&lt;=5l)</t>
  </si>
  <si>
    <t>BIB aoc Bordeaux rouge (&lt;=5l)</t>
  </si>
  <si>
    <t>75 cl CdNimes rosé</t>
  </si>
  <si>
    <t>BIB IGP rosé(&lt;=5l)</t>
  </si>
  <si>
    <t>Nombre de lignes</t>
  </si>
  <si>
    <t>2/Bases historiques frais d'hébergement</t>
  </si>
  <si>
    <t>3/Bases spécifiques et département</t>
  </si>
  <si>
    <t>IRI France EFFERVESCENTS</t>
  </si>
  <si>
    <t>Détail du calcul de la partie de prestation de base et mutualisée CNIV</t>
  </si>
  <si>
    <t>Nombre de comités souscripteurs</t>
  </si>
  <si>
    <t>Evolution Indice synthec 2016</t>
  </si>
  <si>
    <t>Options mutualisées CNIV € HT</t>
  </si>
  <si>
    <t>TDP</t>
  </si>
  <si>
    <t>Bases historiques&amp;hébergement</t>
  </si>
  <si>
    <t>TOTAL OPTIONS INDIVIDUELLES PANEL France VINS EFFERVESCENTS</t>
  </si>
  <si>
    <t>INTEROC</t>
  </si>
  <si>
    <t>1/Sous total TDP</t>
  </si>
  <si>
    <t>2/Sous total bases historiques</t>
  </si>
  <si>
    <t>1/TDP</t>
  </si>
  <si>
    <t>Montant HT à payer par comité, par année</t>
  </si>
  <si>
    <t>12 (dont 11 communes)</t>
  </si>
  <si>
    <t>Vouvray</t>
  </si>
  <si>
    <t>pour mémoire</t>
  </si>
  <si>
    <t>Historique 2013 avec le nouveau pas sur la TDP : ligne Champagne 265,00 € HT CIVC</t>
  </si>
  <si>
    <t>Modifications</t>
  </si>
  <si>
    <t>1/TDP</t>
  </si>
  <si>
    <t>Lignes communes</t>
  </si>
  <si>
    <t>Calcul du prix</t>
  </si>
  <si>
    <t>Forfait 10 premières TDP</t>
  </si>
  <si>
    <t>20 suivantes prix unitaire (11 à 30)</t>
  </si>
  <si>
    <t>20 suivantes prix unitaire (31 à 50)</t>
  </si>
  <si>
    <t>10 dernières prix unitaires (51 à 59)</t>
  </si>
  <si>
    <t>Détail des lignes TDP UK</t>
  </si>
  <si>
    <t>Commun</t>
  </si>
  <si>
    <t>vins tranquilles rouge</t>
  </si>
  <si>
    <t>VDR total</t>
  </si>
  <si>
    <t>Bordeaux total</t>
  </si>
  <si>
    <t>Corbières rouge</t>
  </si>
  <si>
    <t>Bourgogne rouge total</t>
  </si>
  <si>
    <t>Vin de pays d'oc</t>
  </si>
  <si>
    <t>Muscadet</t>
  </si>
  <si>
    <t>vins tranquilles rosé</t>
  </si>
  <si>
    <t>CDR rouge</t>
  </si>
  <si>
    <t>Bordeaux rouge total</t>
  </si>
  <si>
    <t>Minervois rouge</t>
  </si>
  <si>
    <t>Bourgogne blanc total</t>
  </si>
  <si>
    <t>Vin de pays d'oc Merlot rouge</t>
  </si>
  <si>
    <t>vins tranquilles blanc</t>
  </si>
  <si>
    <t>CDR rosé</t>
  </si>
  <si>
    <t>Bordeaux blanctotal</t>
  </si>
  <si>
    <t>Languedoc rouge toal</t>
  </si>
  <si>
    <t>Régionale Bourgogne Pinot Noir</t>
  </si>
  <si>
    <t>Vin de pays d'oc Syrah rouge</t>
  </si>
  <si>
    <t>Rosé d'anjou</t>
  </si>
  <si>
    <t>Vqprd rosé</t>
  </si>
  <si>
    <t>Crus rouge</t>
  </si>
  <si>
    <t>Groupe bordeaux</t>
  </si>
  <si>
    <t>Languedoc blanc toal</t>
  </si>
  <si>
    <t>Pinot étrangers (NZ, Chili, Californie)</t>
  </si>
  <si>
    <t>Vin de pays d'oc rosé</t>
  </si>
  <si>
    <t>Touraine Blanc</t>
  </si>
  <si>
    <t>Vqprd blanc</t>
  </si>
  <si>
    <t>Autres Rhône rouge</t>
  </si>
  <si>
    <t>Groupe Médoc et Graves</t>
  </si>
  <si>
    <t>Languedoc rosé toal</t>
  </si>
  <si>
    <t>Vin de pays d'oc Cabernet saouvignon rouge</t>
  </si>
  <si>
    <t>Sauvignon NZ</t>
  </si>
  <si>
    <t>Vqprd rouge</t>
  </si>
  <si>
    <t>CDR villages rouge</t>
  </si>
  <si>
    <t>Groupe Libournais</t>
  </si>
  <si>
    <t>Vin de pays d'oc Chardonnay</t>
  </si>
  <si>
    <t>vins de pays cépages rouge</t>
  </si>
  <si>
    <t>Groupe blancs secs</t>
  </si>
  <si>
    <t>"Macon" + "macon villages" + "macon+Noms de commune" blanc</t>
  </si>
  <si>
    <t>Vin de pays d'oc Sauvignon</t>
  </si>
  <si>
    <t>Australie rouge</t>
  </si>
  <si>
    <t>Groupe blancs doux</t>
  </si>
  <si>
    <t>Pinot Noir de NZ</t>
  </si>
  <si>
    <t>Californie rouge</t>
  </si>
  <si>
    <t>Aoc Bordeaux rouge</t>
  </si>
  <si>
    <t>Italie rouge</t>
  </si>
  <si>
    <t>Claret</t>
  </si>
  <si>
    <t>Espagne rouge</t>
  </si>
  <si>
    <t>AOC Bordeaux blanc</t>
  </si>
  <si>
    <t>Chili rouge</t>
  </si>
  <si>
    <t>californie rosé</t>
  </si>
  <si>
    <t>Australie blanc</t>
  </si>
  <si>
    <t>Californie blanc</t>
  </si>
  <si>
    <t>Italie blanc</t>
  </si>
  <si>
    <t>Pinot noir total (yc VDP)</t>
  </si>
  <si>
    <t>Chardonnay total (yc VDP)</t>
  </si>
  <si>
    <t>BASE VINS TRANQUILLES : en 2016 2 bases (2015-2014-2013) et (2012-2011-2010)</t>
  </si>
  <si>
    <t>BASE VINS EFFERVESCENTS</t>
  </si>
  <si>
    <t>3/Modification du pas des TDP</t>
  </si>
  <si>
    <t>IRI Allemagne</t>
  </si>
  <si>
    <t>IRI PAYS BAS VT</t>
  </si>
  <si>
    <t>IRI Pays-Bas</t>
  </si>
  <si>
    <t>TOTAL OPTIONS INDIVIDUELLES PANEL PAYS BAS</t>
  </si>
  <si>
    <t>Détail des TDP</t>
  </si>
  <si>
    <t>OPTIONS INDIVIDUELLES (TB)</t>
  </si>
  <si>
    <t>GfK Belgique VT et EFF</t>
  </si>
  <si>
    <t>Gfk Allemagne VT et VE</t>
  </si>
  <si>
    <t>COLOMBIE BRITANIQUE</t>
  </si>
  <si>
    <t>CNIV (à répartir)</t>
  </si>
  <si>
    <t>Suivi des modifications</t>
  </si>
  <si>
    <t>PROJET DE PANEL CHR France 
PARTICIPATION FranceAgriMer 50 %</t>
  </si>
  <si>
    <t>COGNAC</t>
  </si>
  <si>
    <t>Estimatif</t>
  </si>
  <si>
    <t>TTC 2018</t>
  </si>
  <si>
    <t>DISTRI VINS EFFERVESCENTS FRANCE Y COMPRIS PROXI</t>
  </si>
  <si>
    <t>PANEL SUIVI DES ACHATS EN CHR</t>
  </si>
  <si>
    <t>1/ SOUS TOTAL MARCHE Français</t>
  </si>
  <si>
    <t>2/ MARCHES EXPORT</t>
  </si>
  <si>
    <t>MULTI PAYS GTI</t>
  </si>
  <si>
    <t>MULTI PAYS  : WINE INTELLIGENCE</t>
  </si>
  <si>
    <t>2ème année du contrat (2017-2018)</t>
  </si>
  <si>
    <t>UK : PANEL SUIVI DES VENTES EN GD VT VE</t>
  </si>
  <si>
    <t>ALL : PANEL SUIVI DES VENTES EN GD VT VE</t>
  </si>
  <si>
    <t>MONOPOLES : ACHAT DE DONNEES</t>
  </si>
  <si>
    <t>SOUS TOTAL MARCHES EXPORT</t>
  </si>
  <si>
    <t>ALL : SUIVI CONSO VT VE</t>
  </si>
  <si>
    <t>RO CAVISTES</t>
  </si>
  <si>
    <t>CHR France</t>
  </si>
  <si>
    <r>
      <t xml:space="preserve">BUDGET </t>
    </r>
    <r>
      <rPr>
        <u/>
        <sz val="11"/>
        <color rgb="FFFF0000"/>
        <rFont val="Calibri"/>
        <family val="2"/>
        <charset val="1"/>
      </rPr>
      <t xml:space="preserve">Y COMPRIS </t>
    </r>
    <r>
      <rPr>
        <sz val="11"/>
        <rFont val="Calibri"/>
        <family val="2"/>
        <charset val="1"/>
      </rPr>
      <t>LES SOUCRIPTIONS INDIVIDUELLES SPECIFIQUES SUR LES PANELS</t>
    </r>
  </si>
  <si>
    <t>PAYS-BAS : SUIVI VENTES EN GD VT</t>
  </si>
  <si>
    <t>Première année du contrat (2018- 2021)</t>
  </si>
  <si>
    <t>Annuel</t>
  </si>
  <si>
    <t>Triannuel</t>
  </si>
  <si>
    <t>IRI UK VT (avec TDP maximisées)</t>
  </si>
  <si>
    <t>IRI UK VEFF</t>
  </si>
  <si>
    <t>1/Sous total TDP (20 lignes dans partie fixe)*</t>
  </si>
  <si>
    <t>20 lignes dans partie fixe vs 15 lignes ad hoc en 2017)</t>
  </si>
  <si>
    <t>IRI Royaume-Uni VT</t>
  </si>
  <si>
    <t>IRI Royaume-Uni VE</t>
  </si>
  <si>
    <t>FRANCEAGRIMER</t>
  </si>
  <si>
    <t>MARCHE France</t>
  </si>
  <si>
    <t>MARCHES EXPORT</t>
  </si>
  <si>
    <t>inclus</t>
  </si>
  <si>
    <t>liste à renseigner</t>
  </si>
  <si>
    <t>MONTANT TOTAL OUTIL</t>
  </si>
  <si>
    <t>Vérification</t>
  </si>
  <si>
    <t>OPTIONS INDIVIDUELLES (TDP + 1 base histo)</t>
  </si>
  <si>
    <t xml:space="preserve"> IGP OC SYRAH ROUGE </t>
  </si>
  <si>
    <t xml:space="preserve"> IGP OC CABERNET ROUGE </t>
  </si>
  <si>
    <t xml:space="preserve"> IGP OC CHARDONNAY BLANC</t>
  </si>
  <si>
    <t xml:space="preserve"> IGP OC SAUVIGNON BLANC</t>
  </si>
  <si>
    <t>3/ ETUDES TRANSVERSALES</t>
  </si>
  <si>
    <t>SOUS TOTAL ETUDES TRANSVERSALES</t>
  </si>
  <si>
    <t>ETUDES TRANSVERSALES</t>
  </si>
  <si>
    <t>WI 2018</t>
  </si>
  <si>
    <t>GRILLE GENERALE DU CNIV 
2019
15/85 CAPEE LISSEE</t>
  </si>
  <si>
    <t xml:space="preserve">CHR Belgique </t>
  </si>
  <si>
    <t>USA ETUDE DE MARCHE</t>
  </si>
  <si>
    <t>Sous total bases historiques</t>
  </si>
  <si>
    <t>HT 2019</t>
  </si>
  <si>
    <t>Evolution Indice synthec</t>
  </si>
  <si>
    <t>TTC 2019</t>
  </si>
  <si>
    <t>Tableaux de bord € HT initial 2018</t>
  </si>
  <si>
    <t>(1)</t>
  </si>
  <si>
    <t>Prestation facturée directement aux interprofessions</t>
  </si>
  <si>
    <t>(2)</t>
  </si>
  <si>
    <t>Prestation payée par le Cniv et refacturée dans l'année aux interprofessions</t>
  </si>
  <si>
    <t>STATUT 2019</t>
  </si>
  <si>
    <t>Annuel - Devis sur 3 ans (2017-2019)</t>
  </si>
  <si>
    <t>BE : SUIVI CONSO VT VE</t>
  </si>
  <si>
    <t xml:space="preserve">Modifications apportées : </t>
  </si>
  <si>
    <t>V0</t>
  </si>
  <si>
    <t>IB</t>
  </si>
  <si>
    <t>IL</t>
  </si>
  <si>
    <t>IR</t>
  </si>
  <si>
    <t>IVSE</t>
  </si>
  <si>
    <t>2/ Base histo</t>
  </si>
  <si>
    <r>
      <t>BUDGET PREVISIONNEL 2020 DES OUTILS ECONOMIQUES</t>
    </r>
    <r>
      <rPr>
        <b/>
        <vertAlign val="superscript"/>
        <sz val="11"/>
        <color rgb="FF000000"/>
        <rFont val="Calibri"/>
        <family val="2"/>
        <charset val="1"/>
      </rPr>
      <t>1</t>
    </r>
  </si>
  <si>
    <t>Deuxième année du contrat (2018- 2021)</t>
  </si>
  <si>
    <t>CAVISTES RELEVE D'OFFRE IDF</t>
  </si>
  <si>
    <t xml:space="preserve">Etude qualitative sur les labels - Place et valeur aux yeux des consommateurs - Monter des indices de confiance &gt; étudier les risques en termes de pratiques et suivi de l'image des appellations  - France et Export - questionnaires en ligne </t>
  </si>
  <si>
    <t>PREVISIONNEL 2020</t>
  </si>
  <si>
    <t>MONTANT EN € HT
Prévisionnel 2020</t>
  </si>
  <si>
    <t>MONTANT EN € HT Prev 2020
INTERPROFESSIONS</t>
  </si>
  <si>
    <t>MONTANT EN € HT Prev 2020
FranceAgriMer</t>
  </si>
  <si>
    <t>Régionale Bourgogne Chardonnay</t>
  </si>
  <si>
    <t>AOCChablis</t>
  </si>
  <si>
    <t>Budget Cniv études payées par le Cniv uniquement</t>
  </si>
  <si>
    <t>Budget identique à 2019, provision du renouvellement relevé d'offre cavistes, renouvellement des prestations pluriannuelles en place en 2019</t>
  </si>
  <si>
    <t>MONTANT EN € HT 2019
INTERPROFESSIONS</t>
  </si>
  <si>
    <t>V1</t>
  </si>
  <si>
    <t xml:space="preserve">Etude quinquennale </t>
  </si>
  <si>
    <t>Etude déconsommation de vin ménages français</t>
  </si>
  <si>
    <t xml:space="preserve">Annuel - </t>
  </si>
  <si>
    <t>Ajout 40 000 € HT déconsommation de vin sur le marché France - étude menée fin 2019</t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</si>
  <si>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  <charset val="1"/>
      </rPr>
      <t xml:space="preserve"> Prix y compris ILD mise en place partielle (10 k€), incluant la prestation Bio incluse à ILD</t>
    </r>
  </si>
  <si>
    <r>
      <t>Prix initial 2018 HT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</si>
  <si>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  <charset val="1"/>
      </rPr>
      <t xml:space="preserve"> Prix hors ILD pour 2018 incluant la prestation Bio</t>
    </r>
  </si>
  <si>
    <t>TTC 2020</t>
  </si>
  <si>
    <r>
      <t>HT 2020</t>
    </r>
    <r>
      <rPr>
        <vertAlign val="superscript"/>
        <sz val="11"/>
        <rFont val="Calibri"/>
        <family val="2"/>
      </rPr>
      <t>2</t>
    </r>
  </si>
  <si>
    <t>Evolution Indice synthec 2020</t>
  </si>
  <si>
    <t>Evolution Indice synthec 2020 (prev. Calcul sur juil 19)</t>
  </si>
  <si>
    <t>PRESTATION HVE (BUDGET PREV 15 000 €HT)</t>
  </si>
  <si>
    <t>2020 € HT</t>
  </si>
  <si>
    <r>
      <t>HT 2020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</si>
  <si>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  <charset val="1"/>
      </rPr>
      <t xml:space="preserve"> Prix y compris ILD mise en place partielle (781€)</t>
    </r>
  </si>
  <si>
    <t>HT 2020</t>
  </si>
  <si>
    <t>TOTAL OPTIONS INDIVIDUELLES PANEL UK 2020</t>
  </si>
  <si>
    <t>DECONSOMMATION VIN FR</t>
  </si>
  <si>
    <t>Tableaux de bord € HT 2020</t>
  </si>
  <si>
    <t>Dernière mise à jour : 04/10/2019</t>
  </si>
  <si>
    <t>Prix initial 2019 HT</t>
  </si>
  <si>
    <t>Prix initial 2019 TTC</t>
  </si>
  <si>
    <t>Calcul avec mise à jour indice synthec : indice août 19 / août 17 à remettre à jour dès que celui d'août est connu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</si>
</sst>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#,##0,\€"/>
    <numFmt numFmtId="165" formatCode="#,##0.00,\€"/>
    <numFmt numFmtId="166" formatCode="0.0%"/>
    <numFmt numFmtId="167" formatCode="#,##0\ [$€-40C];[Red]\-#,##0\ [$€-40C]"/>
    <numFmt numFmtId="168" formatCode="_-[$$-409]* #,##0.00_ ;_-[$$-409]* \-#,##0.00,;_-[$$-409]* \-??_ ;_-@_ "/>
    <numFmt numFmtId="169" formatCode="_-* #,##0.00\ [$SEK]_-;\-* #,##0.00\ [$SEK]_-;_-* \-??\ [$SEK]_-;_-@_-"/>
    <numFmt numFmtId="170" formatCode="_-* #,##0.00,\€_-;\-* #,##0.00,\€_-;_-* \-??&quot; €&quot;_-;_-@_-"/>
    <numFmt numFmtId="171" formatCode="#,##0.00\ [$€-40C];[Red]\-#,##0.00\ [$€-40C]"/>
    <numFmt numFmtId="172" formatCode="0.000"/>
    <numFmt numFmtId="173" formatCode="#,##0.0,\€"/>
    <numFmt numFmtId="174" formatCode="[$$-1009]#,##0"/>
    <numFmt numFmtId="175" formatCode="#,##0.00\ &quot;€&quot;"/>
    <numFmt numFmtId="176" formatCode="#,##0\ &quot;€&quot;"/>
    <numFmt numFmtId="177" formatCode="_-* #,##0\ &quot;€&quot;_-;\-* #,##0\ &quot;€&quot;_-;_-* &quot;-&quot;??\ &quot;€&quot;_-;_-@_-"/>
    <numFmt numFmtId="178" formatCode="#,##0\ _€"/>
    <numFmt numFmtId="179" formatCode="#,##0.000\ _€"/>
    <numFmt numFmtId="180" formatCode="#,##0.0\ &quot;€&quot;"/>
    <numFmt numFmtId="181" formatCode="#,##0.000\ &quot;€&quot;"/>
    <numFmt numFmtId="182" formatCode="_-* #,##0\ &quot;€&quot;_-;\-* #,##0\ &quot;€&quot;_-;_-* &quot;-&quot;???\ &quot;€&quot;_-;_-@_-"/>
  </numFmts>
  <fonts count="60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i/>
      <sz val="10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9"/>
      <color rgb="FF000000"/>
      <name val="Calibri"/>
      <family val="2"/>
      <charset val="1"/>
    </font>
    <font>
      <b/>
      <sz val="11"/>
      <name val="Calibri"/>
      <family val="2"/>
      <charset val="1"/>
    </font>
    <font>
      <u/>
      <sz val="11"/>
      <color rgb="FFFF0000"/>
      <name val="Calibri"/>
      <family val="2"/>
      <charset val="1"/>
    </font>
    <font>
      <b/>
      <vertAlign val="superscript"/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u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rgb="FF0070C0"/>
      <name val="Calibri"/>
      <family val="2"/>
      <charset val="1"/>
    </font>
    <font>
      <sz val="12"/>
      <color rgb="FFFF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theme="1"/>
      <name val="Arial"/>
      <family val="2"/>
    </font>
    <font>
      <i/>
      <sz val="11"/>
      <color rgb="FF000000"/>
      <name val="Calibri"/>
      <family val="2"/>
    </font>
    <font>
      <u/>
      <sz val="11"/>
      <color rgb="FF000000"/>
      <name val="Calibri"/>
      <family val="2"/>
      <charset val="1"/>
    </font>
    <font>
      <sz val="11"/>
      <color theme="1" tint="0.499984740745262"/>
      <name val="Calibri"/>
      <family val="2"/>
      <charset val="1"/>
    </font>
    <font>
      <b/>
      <sz val="11"/>
      <color theme="1" tint="0.499984740745262"/>
      <name val="Calibri"/>
      <family val="2"/>
      <charset val="1"/>
    </font>
    <font>
      <i/>
      <sz val="11"/>
      <color theme="1" tint="0.499984740745262"/>
      <name val="Calibri"/>
      <family val="2"/>
      <charset val="1"/>
    </font>
    <font>
      <sz val="10"/>
      <color theme="1" tint="0.499984740745262"/>
      <name val="Calibri"/>
      <family val="2"/>
      <charset val="1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u/>
      <sz val="9"/>
      <color theme="1" tint="0.499984740745262"/>
      <name val="Arial"/>
      <family val="2"/>
    </font>
    <font>
      <i/>
      <sz val="8"/>
      <color theme="1" tint="0.499984740745262"/>
      <name val="Arial"/>
      <family val="2"/>
    </font>
    <font>
      <b/>
      <i/>
      <sz val="8"/>
      <color theme="1" tint="0.499984740745262"/>
      <name val="Arial"/>
      <family val="2"/>
    </font>
    <font>
      <i/>
      <sz val="9"/>
      <color theme="1" tint="0.499984740745262"/>
      <name val="Calibri"/>
      <family val="2"/>
      <charset val="1"/>
    </font>
    <font>
      <b/>
      <sz val="10"/>
      <color theme="1" tint="0.499984740745262"/>
      <name val="Arial"/>
      <family val="2"/>
      <charset val="1"/>
    </font>
    <font>
      <sz val="10"/>
      <color theme="1" tint="0.499984740745262"/>
      <name val="Arial"/>
      <family val="2"/>
      <charset val="1"/>
    </font>
    <font>
      <sz val="9"/>
      <color theme="1" tint="0.499984740745262"/>
      <name val="Calibri"/>
      <family val="2"/>
      <charset val="1"/>
    </font>
    <font>
      <i/>
      <sz val="9"/>
      <name val="Calibri"/>
      <family val="2"/>
      <charset val="1"/>
    </font>
    <font>
      <b/>
      <i/>
      <sz val="9"/>
      <name val="Calibri"/>
      <family val="2"/>
      <charset val="1"/>
    </font>
    <font>
      <vertAlign val="superscript"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Calibri"/>
      <family val="2"/>
      <charset val="1"/>
    </font>
    <font>
      <b/>
      <sz val="10"/>
      <name val="Arial"/>
      <family val="2"/>
    </font>
    <font>
      <sz val="10"/>
      <name val="Times New Roman"/>
      <family val="1"/>
      <charset val="1"/>
    </font>
    <font>
      <i/>
      <sz val="11"/>
      <name val="Calibri"/>
      <family val="2"/>
      <charset val="1"/>
    </font>
    <font>
      <sz val="8"/>
      <name val="Arial"/>
      <family val="2"/>
    </font>
    <font>
      <i/>
      <sz val="9"/>
      <color rgb="FFFF0000"/>
      <name val="Calibri"/>
      <family val="2"/>
      <charset val="1"/>
    </font>
    <font>
      <u/>
      <sz val="9"/>
      <color rgb="FFA50021"/>
      <name val="Arial"/>
      <family val="2"/>
    </font>
    <font>
      <sz val="9"/>
      <color rgb="FFA50021"/>
      <name val="Arial"/>
      <family val="2"/>
    </font>
    <font>
      <b/>
      <sz val="9"/>
      <color rgb="FFA50021"/>
      <name val="Arial"/>
      <family val="2"/>
    </font>
    <font>
      <i/>
      <sz val="8"/>
      <color rgb="FFA5002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FFFFF"/>
        <bgColor rgb="FFEEECE1"/>
      </patternFill>
    </fill>
    <fill>
      <patternFill patternType="solid">
        <fgColor rgb="FFEEECE1"/>
        <bgColor rgb="FFDCE6F2"/>
      </patternFill>
    </fill>
    <fill>
      <patternFill patternType="solid">
        <fgColor rgb="FFB9CDE5"/>
        <bgColor rgb="FFC6D9F1"/>
      </patternFill>
    </fill>
    <fill>
      <patternFill patternType="solid">
        <fgColor rgb="FFC6D9F1"/>
        <bgColor rgb="FFB9CDE5"/>
      </patternFill>
    </fill>
    <fill>
      <patternFill patternType="solid">
        <fgColor rgb="FFC3D69B"/>
        <bgColor rgb="FFB9CDE5"/>
      </patternFill>
    </fill>
    <fill>
      <patternFill patternType="solid">
        <fgColor rgb="FFE6B9B8"/>
        <bgColor rgb="FFFF99CC"/>
      </patternFill>
    </fill>
    <fill>
      <patternFill patternType="solid">
        <fgColor theme="0"/>
        <bgColor rgb="FFEEECE1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theme="2" tint="-0.499984740745262"/>
        <bgColor theme="0"/>
      </patternFill>
    </fill>
    <fill>
      <patternFill patternType="solid">
        <fgColor theme="0"/>
        <bgColor rgb="FFB9CDE5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170" fontId="20" fillId="0" borderId="0" applyBorder="0" applyProtection="0"/>
    <xf numFmtId="9" fontId="20" fillId="0" borderId="0" applyBorder="0" applyProtection="0"/>
    <xf numFmtId="0" fontId="9" fillId="0" borderId="0" applyBorder="0" applyProtection="0"/>
    <xf numFmtId="0" fontId="20" fillId="0" borderId="0"/>
    <xf numFmtId="0" fontId="22" fillId="0" borderId="0"/>
  </cellStyleXfs>
  <cellXfs count="81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0" fontId="0" fillId="0" borderId="0" xfId="2" applyNumberFormat="1" applyFont="1" applyAlignment="1">
      <alignment wrapText="1"/>
    </xf>
    <xf numFmtId="10" fontId="0" fillId="0" borderId="0" xfId="0" applyNumberFormat="1" applyAlignment="1">
      <alignment wrapText="1"/>
    </xf>
    <xf numFmtId="10" fontId="1" fillId="0" borderId="0" xfId="2" applyNumberFormat="1" applyFont="1" applyBorder="1" applyAlignment="1" applyProtection="1">
      <alignment wrapText="1"/>
    </xf>
    <xf numFmtId="10" fontId="0" fillId="0" borderId="0" xfId="2" applyNumberFormat="1" applyFont="1" applyBorder="1" applyAlignment="1" applyProtection="1">
      <alignment wrapText="1"/>
    </xf>
    <xf numFmtId="0" fontId="4" fillId="0" borderId="0" xfId="0" applyFont="1" applyAlignment="1">
      <alignment wrapText="1"/>
    </xf>
    <xf numFmtId="165" fontId="6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10" fontId="4" fillId="0" borderId="0" xfId="2" applyNumberFormat="1" applyFont="1" applyBorder="1" applyAlignment="1" applyProtection="1">
      <alignment wrapText="1"/>
    </xf>
    <xf numFmtId="10" fontId="4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/>
    <xf numFmtId="0" fontId="4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164" fontId="11" fillId="0" borderId="0" xfId="0" applyNumberFormat="1" applyFont="1" applyAlignment="1">
      <alignment wrapText="1"/>
    </xf>
    <xf numFmtId="0" fontId="11" fillId="0" borderId="0" xfId="0" applyFont="1" applyAlignment="1">
      <alignment horizontal="left" wrapText="1"/>
    </xf>
    <xf numFmtId="0" fontId="0" fillId="0" borderId="0" xfId="0"/>
    <xf numFmtId="0" fontId="4" fillId="0" borderId="9" xfId="0" applyFont="1" applyBorder="1" applyAlignment="1">
      <alignment horizontal="left" vertical="center" wrapText="1"/>
    </xf>
    <xf numFmtId="166" fontId="20" fillId="0" borderId="0" xfId="2" applyNumberFormat="1" applyBorder="1" applyProtection="1"/>
    <xf numFmtId="0" fontId="5" fillId="0" borderId="0" xfId="0" applyFont="1"/>
    <xf numFmtId="10" fontId="4" fillId="0" borderId="25" xfId="0" applyNumberFormat="1" applyFont="1" applyBorder="1" applyAlignment="1">
      <alignment wrapText="1"/>
    </xf>
    <xf numFmtId="0" fontId="4" fillId="0" borderId="26" xfId="0" applyFont="1" applyBorder="1" applyAlignment="1">
      <alignment horizontal="right" wrapText="1"/>
    </xf>
    <xf numFmtId="10" fontId="4" fillId="0" borderId="20" xfId="0" applyNumberFormat="1" applyFont="1" applyBorder="1" applyAlignment="1">
      <alignment horizontal="center" wrapText="1"/>
    </xf>
    <xf numFmtId="168" fontId="4" fillId="0" borderId="20" xfId="0" applyNumberFormat="1" applyFont="1" applyBorder="1" applyAlignment="1">
      <alignment horizontal="center" wrapText="1"/>
    </xf>
    <xf numFmtId="2" fontId="4" fillId="0" borderId="27" xfId="0" applyNumberFormat="1" applyFont="1" applyBorder="1" applyAlignment="1">
      <alignment horizontal="center" wrapText="1"/>
    </xf>
    <xf numFmtId="10" fontId="4" fillId="0" borderId="27" xfId="0" applyNumberFormat="1" applyFont="1" applyBorder="1" applyAlignment="1">
      <alignment horizontal="center" wrapText="1"/>
    </xf>
    <xf numFmtId="169" fontId="6" fillId="0" borderId="20" xfId="0" applyNumberFormat="1" applyFont="1" applyBorder="1" applyAlignment="1">
      <alignment horizontal="center" wrapText="1"/>
    </xf>
    <xf numFmtId="165" fontId="6" fillId="0" borderId="27" xfId="0" applyNumberFormat="1" applyFont="1" applyBorder="1" applyAlignment="1">
      <alignment horizontal="center" wrapText="1"/>
    </xf>
    <xf numFmtId="10" fontId="4" fillId="0" borderId="26" xfId="0" applyNumberFormat="1" applyFont="1" applyBorder="1" applyAlignment="1">
      <alignment horizontal="right" wrapText="1"/>
    </xf>
    <xf numFmtId="165" fontId="4" fillId="0" borderId="25" xfId="0" applyNumberFormat="1" applyFont="1" applyBorder="1" applyAlignment="1">
      <alignment horizontal="center" wrapText="1"/>
    </xf>
    <xf numFmtId="165" fontId="4" fillId="0" borderId="20" xfId="0" applyNumberFormat="1" applyFont="1" applyBorder="1" applyAlignment="1">
      <alignment horizontal="center" wrapText="1"/>
    </xf>
    <xf numFmtId="165" fontId="4" fillId="0" borderId="27" xfId="0" applyNumberFormat="1" applyFont="1" applyBorder="1" applyAlignment="1">
      <alignment horizontal="center" wrapText="1"/>
    </xf>
    <xf numFmtId="10" fontId="4" fillId="0" borderId="15" xfId="0" applyNumberFormat="1" applyFont="1" applyBorder="1" applyAlignment="1">
      <alignment wrapText="1"/>
    </xf>
    <xf numFmtId="165" fontId="4" fillId="0" borderId="15" xfId="0" applyNumberFormat="1" applyFont="1" applyBorder="1" applyAlignment="1">
      <alignment wrapText="1"/>
    </xf>
    <xf numFmtId="10" fontId="4" fillId="0" borderId="13" xfId="0" applyNumberFormat="1" applyFont="1" applyBorder="1" applyAlignment="1">
      <alignment wrapText="1"/>
    </xf>
    <xf numFmtId="165" fontId="4" fillId="0" borderId="23" xfId="0" applyNumberFormat="1" applyFont="1" applyBorder="1" applyAlignment="1">
      <alignment wrapText="1"/>
    </xf>
    <xf numFmtId="165" fontId="4" fillId="0" borderId="13" xfId="0" applyNumberFormat="1" applyFont="1" applyBorder="1" applyAlignment="1">
      <alignment wrapText="1"/>
    </xf>
    <xf numFmtId="165" fontId="4" fillId="0" borderId="26" xfId="0" applyNumberFormat="1" applyFont="1" applyBorder="1" applyAlignment="1">
      <alignment wrapText="1"/>
    </xf>
    <xf numFmtId="165" fontId="4" fillId="0" borderId="21" xfId="0" applyNumberFormat="1" applyFont="1" applyBorder="1" applyAlignment="1">
      <alignment wrapText="1"/>
    </xf>
    <xf numFmtId="165" fontId="0" fillId="0" borderId="0" xfId="0" applyNumberFormat="1" applyBorder="1" applyAlignment="1">
      <alignment wrapText="1"/>
    </xf>
    <xf numFmtId="165" fontId="0" fillId="0" borderId="21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0" fillId="0" borderId="9" xfId="0" applyFont="1" applyBorder="1" applyAlignment="1">
      <alignment horizontal="right" vertical="center" wrapText="1"/>
    </xf>
    <xf numFmtId="165" fontId="0" fillId="0" borderId="9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8" xfId="0" applyFont="1" applyBorder="1" applyAlignment="1">
      <alignment wrapText="1"/>
    </xf>
    <xf numFmtId="165" fontId="4" fillId="0" borderId="9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165" fontId="0" fillId="0" borderId="14" xfId="0" applyNumberFormat="1" applyBorder="1" applyAlignment="1">
      <alignment wrapText="1"/>
    </xf>
    <xf numFmtId="0" fontId="0" fillId="0" borderId="9" xfId="0" applyFont="1" applyBorder="1" applyAlignment="1">
      <alignment vertical="center" wrapText="1"/>
    </xf>
    <xf numFmtId="165" fontId="0" fillId="0" borderId="9" xfId="0" applyNumberFormat="1" applyBorder="1" applyAlignment="1">
      <alignment vertical="center" wrapText="1"/>
    </xf>
    <xf numFmtId="0" fontId="0" fillId="0" borderId="21" xfId="0" applyFont="1" applyBorder="1" applyAlignment="1">
      <alignment wrapText="1"/>
    </xf>
    <xf numFmtId="165" fontId="0" fillId="0" borderId="18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vertical="center" wrapText="1"/>
    </xf>
    <xf numFmtId="165" fontId="14" fillId="0" borderId="0" xfId="0" applyNumberFormat="1" applyFont="1" applyBorder="1" applyAlignment="1">
      <alignment wrapText="1"/>
    </xf>
    <xf numFmtId="0" fontId="14" fillId="0" borderId="0" xfId="0" applyFont="1" applyAlignment="1">
      <alignment wrapText="1"/>
    </xf>
    <xf numFmtId="165" fontId="0" fillId="0" borderId="9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center" wrapText="1"/>
    </xf>
    <xf numFmtId="170" fontId="0" fillId="0" borderId="0" xfId="0" applyNumberFormat="1" applyAlignment="1">
      <alignment wrapText="1"/>
    </xf>
    <xf numFmtId="165" fontId="4" fillId="0" borderId="0" xfId="0" applyNumberFormat="1" applyFont="1"/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 wrapText="1"/>
    </xf>
    <xf numFmtId="0" fontId="4" fillId="5" borderId="5" xfId="0" applyFont="1" applyFill="1" applyBorder="1" applyAlignment="1">
      <alignment horizontal="center"/>
    </xf>
    <xf numFmtId="165" fontId="4" fillId="4" borderId="5" xfId="0" applyNumberFormat="1" applyFont="1" applyFill="1" applyBorder="1"/>
    <xf numFmtId="165" fontId="4" fillId="4" borderId="2" xfId="0" applyNumberFormat="1" applyFont="1" applyFill="1" applyBorder="1"/>
    <xf numFmtId="0" fontId="0" fillId="0" borderId="25" xfId="0" applyFont="1" applyBorder="1"/>
    <xf numFmtId="0" fontId="0" fillId="0" borderId="20" xfId="0" applyFont="1" applyBorder="1" applyAlignment="1">
      <alignment horizontal="right" wrapText="1"/>
    </xf>
    <xf numFmtId="10" fontId="0" fillId="0" borderId="20" xfId="2" applyNumberFormat="1" applyFont="1" applyBorder="1" applyAlignment="1" applyProtection="1"/>
    <xf numFmtId="165" fontId="0" fillId="0" borderId="20" xfId="0" applyNumberFormat="1" applyBorder="1"/>
    <xf numFmtId="165" fontId="0" fillId="0" borderId="27" xfId="0" applyNumberFormat="1" applyBorder="1"/>
    <xf numFmtId="10" fontId="0" fillId="0" borderId="0" xfId="2" applyNumberFormat="1" applyFont="1" applyBorder="1" applyAlignment="1" applyProtection="1"/>
    <xf numFmtId="0" fontId="0" fillId="0" borderId="26" xfId="0" applyFont="1" applyBorder="1"/>
    <xf numFmtId="0" fontId="0" fillId="0" borderId="0" xfId="0" applyFont="1" applyBorder="1" applyAlignment="1">
      <alignment horizontal="right" wrapText="1"/>
    </xf>
    <xf numFmtId="165" fontId="0" fillId="0" borderId="0" xfId="0" applyNumberFormat="1" applyBorder="1"/>
    <xf numFmtId="165" fontId="0" fillId="0" borderId="21" xfId="0" applyNumberFormat="1" applyBorder="1"/>
    <xf numFmtId="10" fontId="0" fillId="0" borderId="0" xfId="2" applyNumberFormat="1" applyFont="1" applyBorder="1" applyAlignment="1" applyProtection="1">
      <alignment horizontal="right"/>
    </xf>
    <xf numFmtId="0" fontId="0" fillId="0" borderId="15" xfId="0" applyFont="1" applyBorder="1"/>
    <xf numFmtId="0" fontId="0" fillId="0" borderId="23" xfId="0" applyFont="1" applyBorder="1" applyAlignment="1">
      <alignment horizontal="right" wrapText="1"/>
    </xf>
    <xf numFmtId="10" fontId="0" fillId="0" borderId="23" xfId="2" applyNumberFormat="1" applyFont="1" applyBorder="1" applyAlignment="1" applyProtection="1"/>
    <xf numFmtId="165" fontId="0" fillId="0" borderId="23" xfId="0" applyNumberFormat="1" applyBorder="1"/>
    <xf numFmtId="165" fontId="0" fillId="0" borderId="13" xfId="0" applyNumberFormat="1" applyBorder="1"/>
    <xf numFmtId="0" fontId="4" fillId="0" borderId="17" xfId="0" applyFont="1" applyBorder="1"/>
    <xf numFmtId="0" fontId="4" fillId="0" borderId="22" xfId="0" applyFont="1" applyBorder="1"/>
    <xf numFmtId="10" fontId="4" fillId="0" borderId="22" xfId="0" applyNumberFormat="1" applyFont="1" applyBorder="1"/>
    <xf numFmtId="165" fontId="4" fillId="0" borderId="22" xfId="0" applyNumberFormat="1" applyFont="1" applyBorder="1"/>
    <xf numFmtId="165" fontId="4" fillId="0" borderId="16" xfId="0" applyNumberFormat="1" applyFont="1" applyBorder="1"/>
    <xf numFmtId="0" fontId="0" fillId="0" borderId="2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170" fontId="4" fillId="0" borderId="22" xfId="1" applyFont="1" applyBorder="1" applyAlignment="1" applyProtection="1"/>
    <xf numFmtId="170" fontId="4" fillId="0" borderId="16" xfId="1" applyFont="1" applyBorder="1" applyAlignment="1" applyProtection="1"/>
    <xf numFmtId="165" fontId="0" fillId="0" borderId="0" xfId="0" applyNumberFormat="1"/>
    <xf numFmtId="10" fontId="4" fillId="0" borderId="22" xfId="2" applyNumberFormat="1" applyFont="1" applyBorder="1" applyAlignment="1" applyProtection="1"/>
    <xf numFmtId="0" fontId="4" fillId="4" borderId="28" xfId="0" applyFont="1" applyFill="1" applyBorder="1"/>
    <xf numFmtId="0" fontId="4" fillId="4" borderId="29" xfId="0" applyFont="1" applyFill="1" applyBorder="1"/>
    <xf numFmtId="0" fontId="4" fillId="4" borderId="29" xfId="0" applyFont="1" applyFill="1" applyBorder="1" applyAlignment="1">
      <alignment horizontal="center"/>
    </xf>
    <xf numFmtId="165" fontId="4" fillId="4" borderId="29" xfId="0" applyNumberFormat="1" applyFont="1" applyFill="1" applyBorder="1"/>
    <xf numFmtId="165" fontId="4" fillId="4" borderId="30" xfId="0" applyNumberFormat="1" applyFont="1" applyFill="1" applyBorder="1"/>
    <xf numFmtId="165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165" fontId="4" fillId="4" borderId="2" xfId="0" applyNumberFormat="1" applyFont="1" applyFill="1" applyBorder="1" applyAlignment="1">
      <alignment horizontal="right" vertical="center" wrapText="1"/>
    </xf>
    <xf numFmtId="0" fontId="4" fillId="4" borderId="31" xfId="0" applyFont="1" applyFill="1" applyBorder="1" applyAlignment="1">
      <alignment horizontal="center" vertical="center" wrapText="1"/>
    </xf>
    <xf numFmtId="165" fontId="4" fillId="4" borderId="32" xfId="0" applyNumberFormat="1" applyFont="1" applyFill="1" applyBorder="1" applyAlignment="1">
      <alignment horizontal="left" vertical="center" wrapText="1"/>
    </xf>
    <xf numFmtId="165" fontId="16" fillId="4" borderId="33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10" fontId="0" fillId="0" borderId="9" xfId="0" applyNumberFormat="1" applyFont="1" applyBorder="1" applyAlignment="1">
      <alignment wrapText="1"/>
    </xf>
    <xf numFmtId="0" fontId="17" fillId="0" borderId="9" xfId="0" applyFont="1" applyBorder="1" applyAlignment="1">
      <alignment wrapText="1"/>
    </xf>
    <xf numFmtId="165" fontId="17" fillId="0" borderId="9" xfId="0" applyNumberFormat="1" applyFont="1" applyBorder="1" applyAlignment="1">
      <alignment wrapText="1"/>
    </xf>
    <xf numFmtId="0" fontId="17" fillId="0" borderId="21" xfId="0" applyFont="1" applyBorder="1" applyAlignment="1">
      <alignment wrapText="1"/>
    </xf>
    <xf numFmtId="165" fontId="17" fillId="0" borderId="14" xfId="0" applyNumberFormat="1" applyFont="1" applyBorder="1" applyAlignment="1">
      <alignment wrapText="1"/>
    </xf>
    <xf numFmtId="165" fontId="17" fillId="0" borderId="18" xfId="0" applyNumberFormat="1" applyFont="1" applyBorder="1" applyAlignment="1">
      <alignment wrapText="1"/>
    </xf>
    <xf numFmtId="0" fontId="17" fillId="0" borderId="24" xfId="0" applyFont="1" applyBorder="1" applyAlignment="1">
      <alignment wrapText="1"/>
    </xf>
    <xf numFmtId="165" fontId="17" fillId="0" borderId="24" xfId="0" applyNumberFormat="1" applyFont="1" applyBorder="1" applyAlignment="1">
      <alignment wrapText="1"/>
    </xf>
    <xf numFmtId="165" fontId="4" fillId="0" borderId="11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65" fontId="6" fillId="0" borderId="11" xfId="0" applyNumberFormat="1" applyFont="1" applyBorder="1" applyAlignment="1">
      <alignment wrapText="1"/>
    </xf>
    <xf numFmtId="169" fontId="0" fillId="0" borderId="9" xfId="0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165" fontId="0" fillId="0" borderId="24" xfId="0" applyNumberFormat="1" applyBorder="1" applyAlignment="1">
      <alignment wrapText="1"/>
    </xf>
    <xf numFmtId="168" fontId="0" fillId="0" borderId="9" xfId="0" applyNumberFormat="1" applyBorder="1" applyAlignment="1">
      <alignment wrapText="1"/>
    </xf>
    <xf numFmtId="165" fontId="0" fillId="0" borderId="9" xfId="2" applyNumberFormat="1" applyFont="1" applyBorder="1" applyAlignment="1" applyProtection="1">
      <alignment wrapText="1"/>
    </xf>
    <xf numFmtId="0" fontId="0" fillId="0" borderId="0" xfId="0" applyFont="1" applyAlignment="1">
      <alignment wrapText="1"/>
    </xf>
    <xf numFmtId="165" fontId="0" fillId="0" borderId="24" xfId="2" applyNumberFormat="1" applyFont="1" applyBorder="1" applyAlignment="1" applyProtection="1">
      <alignment wrapText="1"/>
    </xf>
    <xf numFmtId="0" fontId="4" fillId="0" borderId="28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65" fontId="6" fillId="0" borderId="19" xfId="2" applyNumberFormat="1" applyFont="1" applyBorder="1" applyAlignment="1" applyProtection="1">
      <alignment wrapText="1"/>
    </xf>
    <xf numFmtId="2" fontId="19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164" fontId="4" fillId="0" borderId="9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Font="1"/>
    <xf numFmtId="165" fontId="0" fillId="0" borderId="0" xfId="0" applyNumberFormat="1" applyBorder="1" applyAlignment="1">
      <alignment wrapText="1"/>
    </xf>
    <xf numFmtId="165" fontId="1" fillId="0" borderId="9" xfId="0" applyNumberFormat="1" applyFont="1" applyBorder="1" applyAlignment="1">
      <alignment horizontal="left" vertical="center" wrapText="1"/>
    </xf>
    <xf numFmtId="166" fontId="0" fillId="0" borderId="9" xfId="2" applyNumberFormat="1" applyFont="1" applyBorder="1" applyAlignment="1" applyProtection="1">
      <alignment horizontal="center" wrapText="1"/>
    </xf>
    <xf numFmtId="165" fontId="1" fillId="0" borderId="9" xfId="0" applyNumberFormat="1" applyFont="1" applyBorder="1" applyAlignment="1">
      <alignment wrapText="1"/>
    </xf>
    <xf numFmtId="166" fontId="20" fillId="0" borderId="9" xfId="2" applyNumberFormat="1" applyBorder="1" applyProtection="1"/>
    <xf numFmtId="10" fontId="1" fillId="0" borderId="9" xfId="2" applyNumberFormat="1" applyFont="1" applyBorder="1" applyAlignment="1" applyProtection="1">
      <alignment wrapText="1"/>
    </xf>
    <xf numFmtId="9" fontId="20" fillId="0" borderId="0" xfId="2" applyBorder="1" applyProtection="1"/>
    <xf numFmtId="176" fontId="0" fillId="0" borderId="0" xfId="0" applyNumberFormat="1"/>
    <xf numFmtId="176" fontId="0" fillId="0" borderId="9" xfId="0" applyNumberFormat="1" applyFont="1" applyBorder="1" applyAlignment="1">
      <alignment wrapText="1"/>
    </xf>
    <xf numFmtId="176" fontId="0" fillId="0" borderId="9" xfId="0" applyNumberFormat="1" applyBorder="1"/>
    <xf numFmtId="177" fontId="0" fillId="0" borderId="9" xfId="0" applyNumberFormat="1" applyBorder="1"/>
    <xf numFmtId="176" fontId="4" fillId="0" borderId="11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Font="1" applyBorder="1"/>
    <xf numFmtId="0" fontId="4" fillId="0" borderId="9" xfId="0" applyFont="1" applyBorder="1" applyAlignment="1">
      <alignment vertical="center" wrapText="1"/>
    </xf>
    <xf numFmtId="176" fontId="4" fillId="0" borderId="9" xfId="0" applyNumberFormat="1" applyFont="1" applyBorder="1" applyAlignment="1">
      <alignment wrapText="1"/>
    </xf>
    <xf numFmtId="0" fontId="0" fillId="0" borderId="20" xfId="0" applyBorder="1"/>
    <xf numFmtId="0" fontId="4" fillId="0" borderId="20" xfId="0" applyFont="1" applyBorder="1" applyAlignment="1">
      <alignment vertical="center" wrapText="1"/>
    </xf>
    <xf numFmtId="164" fontId="4" fillId="0" borderId="20" xfId="0" applyNumberFormat="1" applyFont="1" applyBorder="1" applyAlignment="1">
      <alignment wrapText="1"/>
    </xf>
    <xf numFmtId="176" fontId="0" fillId="0" borderId="9" xfId="0" applyNumberFormat="1" applyFont="1" applyBorder="1" applyAlignment="1">
      <alignment horizontal="right" vertical="center" wrapText="1"/>
    </xf>
    <xf numFmtId="176" fontId="0" fillId="0" borderId="9" xfId="0" applyNumberFormat="1" applyFont="1" applyBorder="1" applyAlignment="1">
      <alignment horizontal="right" wrapText="1"/>
    </xf>
    <xf numFmtId="0" fontId="6" fillId="2" borderId="9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vertical="center" wrapText="1"/>
    </xf>
    <xf numFmtId="0" fontId="21" fillId="0" borderId="9" xfId="0" applyFont="1" applyBorder="1" applyAlignment="1">
      <alignment wrapText="1"/>
    </xf>
    <xf numFmtId="176" fontId="4" fillId="0" borderId="0" xfId="0" applyNumberFormat="1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176" fontId="1" fillId="0" borderId="9" xfId="0" applyNumberFormat="1" applyFont="1" applyBorder="1" applyAlignment="1">
      <alignment wrapText="1"/>
    </xf>
    <xf numFmtId="0" fontId="9" fillId="0" borderId="9" xfId="3" applyBorder="1"/>
    <xf numFmtId="0" fontId="9" fillId="0" borderId="9" xfId="3" applyBorder="1" applyAlignment="1">
      <alignment vertical="center"/>
    </xf>
    <xf numFmtId="9" fontId="20" fillId="0" borderId="9" xfId="2" applyNumberFormat="1" applyBorder="1" applyProtection="1"/>
    <xf numFmtId="0" fontId="0" fillId="0" borderId="0" xfId="0" applyFont="1" applyBorder="1"/>
    <xf numFmtId="164" fontId="0" fillId="0" borderId="0" xfId="0" applyNumberFormat="1" applyFont="1" applyBorder="1" applyAlignment="1">
      <alignment wrapText="1"/>
    </xf>
    <xf numFmtId="0" fontId="0" fillId="0" borderId="9" xfId="0" applyFont="1" applyBorder="1"/>
    <xf numFmtId="175" fontId="4" fillId="0" borderId="20" xfId="0" applyNumberFormat="1" applyFont="1" applyBorder="1" applyAlignment="1">
      <alignment wrapText="1"/>
    </xf>
    <xf numFmtId="0" fontId="4" fillId="2" borderId="26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wrapText="1"/>
    </xf>
    <xf numFmtId="175" fontId="4" fillId="0" borderId="0" xfId="0" applyNumberFormat="1" applyFont="1" applyBorder="1" applyAlignment="1">
      <alignment wrapText="1"/>
    </xf>
    <xf numFmtId="176" fontId="21" fillId="0" borderId="9" xfId="0" applyNumberFormat="1" applyFont="1" applyBorder="1" applyAlignment="1">
      <alignment wrapText="1"/>
    </xf>
    <xf numFmtId="0" fontId="23" fillId="0" borderId="0" xfId="0" applyFont="1" applyBorder="1" applyAlignment="1">
      <alignment wrapText="1"/>
    </xf>
    <xf numFmtId="176" fontId="23" fillId="0" borderId="0" xfId="0" applyNumberFormat="1" applyFont="1" applyBorder="1" applyAlignment="1">
      <alignment wrapText="1"/>
    </xf>
    <xf numFmtId="10" fontId="20" fillId="0" borderId="9" xfId="2" applyNumberFormat="1" applyBorder="1"/>
    <xf numFmtId="0" fontId="4" fillId="0" borderId="26" xfId="0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wrapText="1"/>
    </xf>
    <xf numFmtId="164" fontId="4" fillId="0" borderId="26" xfId="0" applyNumberFormat="1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right" vertical="center" wrapText="1"/>
    </xf>
    <xf numFmtId="164" fontId="0" fillId="0" borderId="26" xfId="0" applyNumberFormat="1" applyFont="1" applyBorder="1" applyAlignment="1">
      <alignment horizontal="right" wrapText="1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24" fillId="0" borderId="0" xfId="0" applyFont="1"/>
    <xf numFmtId="14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wrapText="1"/>
    </xf>
    <xf numFmtId="176" fontId="5" fillId="0" borderId="0" xfId="0" applyNumberFormat="1" applyFont="1" applyBorder="1" applyAlignment="1">
      <alignment vertical="center" wrapText="1"/>
    </xf>
    <xf numFmtId="176" fontId="9" fillId="0" borderId="9" xfId="3" applyNumberFormat="1" applyBorder="1" applyAlignment="1">
      <alignment vertical="center"/>
    </xf>
    <xf numFmtId="176" fontId="4" fillId="0" borderId="20" xfId="0" applyNumberFormat="1" applyFont="1" applyBorder="1" applyAlignment="1">
      <alignment vertical="center" wrapText="1"/>
    </xf>
    <xf numFmtId="176" fontId="9" fillId="0" borderId="9" xfId="3" applyNumberFormat="1" applyBorder="1"/>
    <xf numFmtId="176" fontId="4" fillId="0" borderId="38" xfId="0" applyNumberFormat="1" applyFont="1" applyBorder="1" applyAlignment="1">
      <alignment wrapText="1"/>
    </xf>
    <xf numFmtId="176" fontId="10" fillId="0" borderId="0" xfId="0" applyNumberFormat="1" applyFont="1" applyAlignment="1">
      <alignment wrapText="1"/>
    </xf>
    <xf numFmtId="0" fontId="9" fillId="0" borderId="9" xfId="3" applyBorder="1" applyAlignment="1">
      <alignment vertical="center" wrapText="1"/>
    </xf>
    <xf numFmtId="176" fontId="6" fillId="0" borderId="11" xfId="0" applyNumberFormat="1" applyFont="1" applyBorder="1" applyAlignment="1">
      <alignment wrapText="1"/>
    </xf>
    <xf numFmtId="0" fontId="25" fillId="0" borderId="0" xfId="0" applyFont="1"/>
    <xf numFmtId="0" fontId="26" fillId="0" borderId="0" xfId="0" applyFont="1" applyAlignment="1">
      <alignment wrapText="1"/>
    </xf>
    <xf numFmtId="0" fontId="26" fillId="0" borderId="9" xfId="0" applyNumberFormat="1" applyFont="1" applyBorder="1" applyAlignment="1">
      <alignment horizontal="center" vertical="center" wrapText="1"/>
    </xf>
    <xf numFmtId="176" fontId="25" fillId="0" borderId="9" xfId="0" applyNumberFormat="1" applyFont="1" applyBorder="1" applyAlignment="1">
      <alignment wrapText="1"/>
    </xf>
    <xf numFmtId="176" fontId="26" fillId="0" borderId="9" xfId="0" applyNumberFormat="1" applyFont="1" applyBorder="1" applyAlignment="1">
      <alignment vertical="center" wrapText="1"/>
    </xf>
    <xf numFmtId="164" fontId="26" fillId="0" borderId="20" xfId="0" applyNumberFormat="1" applyFont="1" applyBorder="1" applyAlignment="1">
      <alignment wrapText="1"/>
    </xf>
    <xf numFmtId="164" fontId="26" fillId="0" borderId="9" xfId="0" applyNumberFormat="1" applyFont="1" applyBorder="1" applyAlignment="1">
      <alignment horizontal="center" vertical="center" wrapText="1"/>
    </xf>
    <xf numFmtId="176" fontId="25" fillId="0" borderId="9" xfId="0" applyNumberFormat="1" applyFont="1" applyBorder="1" applyAlignment="1">
      <alignment horizontal="right" vertical="center" wrapText="1"/>
    </xf>
    <xf numFmtId="176" fontId="26" fillId="0" borderId="9" xfId="0" applyNumberFormat="1" applyFont="1" applyBorder="1" applyAlignment="1">
      <alignment wrapText="1"/>
    </xf>
    <xf numFmtId="176" fontId="26" fillId="0" borderId="0" xfId="0" applyNumberFormat="1" applyFont="1" applyBorder="1" applyAlignment="1">
      <alignment wrapText="1"/>
    </xf>
    <xf numFmtId="176" fontId="26" fillId="0" borderId="11" xfId="0" applyNumberFormat="1" applyFont="1" applyBorder="1" applyAlignment="1">
      <alignment wrapText="1"/>
    </xf>
    <xf numFmtId="176" fontId="27" fillId="0" borderId="0" xfId="0" applyNumberFormat="1" applyFont="1" applyBorder="1" applyAlignment="1">
      <alignment wrapText="1"/>
    </xf>
    <xf numFmtId="164" fontId="28" fillId="0" borderId="0" xfId="0" applyNumberFormat="1" applyFont="1" applyAlignment="1">
      <alignment wrapText="1"/>
    </xf>
    <xf numFmtId="164" fontId="25" fillId="0" borderId="0" xfId="0" applyNumberFormat="1" applyFont="1" applyAlignment="1">
      <alignment wrapText="1"/>
    </xf>
    <xf numFmtId="177" fontId="0" fillId="0" borderId="9" xfId="0" applyNumberFormat="1" applyBorder="1" applyAlignment="1">
      <alignment wrapText="1"/>
    </xf>
    <xf numFmtId="0" fontId="29" fillId="0" borderId="9" xfId="0" applyFont="1" applyBorder="1" applyAlignment="1">
      <alignment horizontal="center" vertical="center"/>
    </xf>
    <xf numFmtId="0" fontId="30" fillId="0" borderId="0" xfId="0" applyFont="1"/>
    <xf numFmtId="171" fontId="29" fillId="0" borderId="9" xfId="0" applyNumberFormat="1" applyFont="1" applyBorder="1" applyAlignment="1">
      <alignment horizontal="center" vertical="center" wrapText="1"/>
    </xf>
    <xf numFmtId="164" fontId="29" fillId="0" borderId="9" xfId="0" applyNumberFormat="1" applyFont="1" applyBorder="1" applyAlignment="1">
      <alignment horizontal="center" vertical="center"/>
    </xf>
    <xf numFmtId="176" fontId="30" fillId="0" borderId="9" xfId="0" applyNumberFormat="1" applyFont="1" applyBorder="1"/>
    <xf numFmtId="176" fontId="30" fillId="0" borderId="9" xfId="2" applyNumberFormat="1" applyFont="1" applyBorder="1" applyAlignment="1" applyProtection="1">
      <alignment wrapText="1"/>
    </xf>
    <xf numFmtId="167" fontId="30" fillId="0" borderId="9" xfId="2" applyNumberFormat="1" applyFont="1" applyBorder="1" applyAlignment="1" applyProtection="1">
      <alignment wrapText="1"/>
    </xf>
    <xf numFmtId="176" fontId="32" fillId="0" borderId="9" xfId="0" applyNumberFormat="1" applyFont="1" applyBorder="1"/>
    <xf numFmtId="164" fontId="30" fillId="0" borderId="0" xfId="0" applyNumberFormat="1" applyFont="1"/>
    <xf numFmtId="167" fontId="30" fillId="0" borderId="9" xfId="0" applyNumberFormat="1" applyFont="1" applyBorder="1" applyAlignment="1">
      <alignment wrapText="1"/>
    </xf>
    <xf numFmtId="176" fontId="29" fillId="0" borderId="9" xfId="0" applyNumberFormat="1" applyFont="1" applyBorder="1"/>
    <xf numFmtId="167" fontId="29" fillId="0" borderId="9" xfId="0" applyNumberFormat="1" applyFont="1" applyBorder="1" applyAlignment="1">
      <alignment wrapText="1"/>
    </xf>
    <xf numFmtId="167" fontId="29" fillId="0" borderId="9" xfId="0" applyNumberFormat="1" applyFont="1" applyBorder="1"/>
    <xf numFmtId="167" fontId="33" fillId="0" borderId="9" xfId="0" applyNumberFormat="1" applyFont="1" applyBorder="1"/>
    <xf numFmtId="0" fontId="29" fillId="0" borderId="0" xfId="0" applyFont="1"/>
    <xf numFmtId="164" fontId="32" fillId="0" borderId="0" xfId="0" applyNumberFormat="1" applyFont="1" applyBorder="1" applyAlignment="1">
      <alignment wrapText="1"/>
    </xf>
    <xf numFmtId="176" fontId="32" fillId="0" borderId="0" xfId="0" applyNumberFormat="1" applyFont="1" applyBorder="1" applyAlignment="1">
      <alignment wrapText="1"/>
    </xf>
    <xf numFmtId="0" fontId="32" fillId="0" borderId="0" xfId="0" applyFont="1" applyAlignment="1">
      <alignment wrapText="1"/>
    </xf>
    <xf numFmtId="176" fontId="32" fillId="0" borderId="0" xfId="0" applyNumberFormat="1" applyFont="1" applyBorder="1"/>
    <xf numFmtId="0" fontId="32" fillId="0" borderId="0" xfId="0" applyNumberFormat="1" applyFont="1" applyBorder="1"/>
    <xf numFmtId="0" fontId="32" fillId="0" borderId="0" xfId="0" applyFont="1"/>
    <xf numFmtId="0" fontId="32" fillId="0" borderId="0" xfId="0" applyNumberFormat="1" applyFont="1" applyBorder="1" applyAlignment="1">
      <alignment wrapText="1"/>
    </xf>
    <xf numFmtId="1" fontId="32" fillId="0" borderId="0" xfId="0" applyNumberFormat="1" applyFont="1" applyBorder="1" applyAlignment="1">
      <alignment wrapText="1"/>
    </xf>
    <xf numFmtId="0" fontId="30" fillId="0" borderId="0" xfId="0" applyFont="1" applyAlignment="1">
      <alignment wrapText="1"/>
    </xf>
    <xf numFmtId="0" fontId="25" fillId="0" borderId="0" xfId="0" applyFont="1" applyBorder="1"/>
    <xf numFmtId="0" fontId="26" fillId="0" borderId="0" xfId="0" applyFont="1"/>
    <xf numFmtId="1" fontId="25" fillId="0" borderId="0" xfId="0" applyNumberFormat="1" applyFont="1"/>
    <xf numFmtId="176" fontId="25" fillId="3" borderId="0" xfId="2" applyNumberFormat="1" applyFont="1" applyFill="1" applyBorder="1" applyAlignment="1" applyProtection="1">
      <alignment wrapText="1"/>
    </xf>
    <xf numFmtId="166" fontId="25" fillId="0" borderId="0" xfId="2" applyNumberFormat="1" applyFont="1" applyBorder="1" applyProtection="1"/>
    <xf numFmtId="0" fontId="25" fillId="0" borderId="0" xfId="0" applyFont="1" applyFill="1" applyBorder="1"/>
    <xf numFmtId="164" fontId="34" fillId="0" borderId="20" xfId="0" applyNumberFormat="1" applyFont="1" applyBorder="1" applyAlignment="1">
      <alignment wrapText="1"/>
    </xf>
    <xf numFmtId="164" fontId="25" fillId="0" borderId="0" xfId="0" applyNumberFormat="1" applyFont="1"/>
    <xf numFmtId="176" fontId="25" fillId="3" borderId="0" xfId="0" applyNumberFormat="1" applyFont="1" applyFill="1" applyBorder="1"/>
    <xf numFmtId="1" fontId="25" fillId="3" borderId="0" xfId="2" applyNumberFormat="1" applyFont="1" applyFill="1" applyBorder="1" applyProtection="1"/>
    <xf numFmtId="164" fontId="25" fillId="0" borderId="18" xfId="0" applyNumberFormat="1" applyFont="1" applyBorder="1" applyAlignment="1">
      <alignment wrapText="1"/>
    </xf>
    <xf numFmtId="0" fontId="25" fillId="3" borderId="0" xfId="0" applyFont="1" applyFill="1" applyBorder="1"/>
    <xf numFmtId="0" fontId="35" fillId="6" borderId="0" xfId="0" applyFont="1" applyFill="1"/>
    <xf numFmtId="0" fontId="36" fillId="6" borderId="0" xfId="0" applyFont="1" applyFill="1"/>
    <xf numFmtId="0" fontId="35" fillId="0" borderId="0" xfId="0" applyFont="1" applyBorder="1" applyAlignment="1"/>
    <xf numFmtId="1" fontId="35" fillId="0" borderId="0" xfId="0" applyNumberFormat="1" applyFont="1" applyBorder="1" applyAlignment="1"/>
    <xf numFmtId="1" fontId="26" fillId="0" borderId="0" xfId="0" applyNumberFormat="1" applyFont="1" applyBorder="1" applyAlignment="1">
      <alignment horizontal="center" vertical="center" wrapText="1"/>
    </xf>
    <xf numFmtId="1" fontId="26" fillId="0" borderId="24" xfId="0" applyNumberFormat="1" applyFont="1" applyBorder="1" applyAlignment="1">
      <alignment horizontal="center" vertical="center" wrapText="1"/>
    </xf>
    <xf numFmtId="1" fontId="35" fillId="0" borderId="24" xfId="0" applyNumberFormat="1" applyFont="1" applyBorder="1" applyAlignment="1">
      <alignment horizontal="center" vertical="center" wrapText="1"/>
    </xf>
    <xf numFmtId="0" fontId="35" fillId="0" borderId="9" xfId="0" applyFont="1" applyBorder="1" applyAlignment="1">
      <alignment horizontal="right"/>
    </xf>
    <xf numFmtId="172" fontId="36" fillId="0" borderId="9" xfId="0" applyNumberFormat="1" applyFont="1" applyBorder="1" applyAlignment="1"/>
    <xf numFmtId="0" fontId="36" fillId="0" borderId="9" xfId="0" applyFont="1" applyBorder="1"/>
    <xf numFmtId="0" fontId="25" fillId="0" borderId="9" xfId="0" applyFont="1" applyBorder="1"/>
    <xf numFmtId="0" fontId="35" fillId="0" borderId="0" xfId="0" applyFont="1" applyBorder="1" applyAlignment="1">
      <alignment horizontal="right"/>
    </xf>
    <xf numFmtId="0" fontId="36" fillId="0" borderId="0" xfId="0" applyFont="1" applyBorder="1"/>
    <xf numFmtId="0" fontId="25" fillId="3" borderId="0" xfId="0" applyFont="1" applyFill="1"/>
    <xf numFmtId="0" fontId="35" fillId="0" borderId="9" xfId="0" applyFont="1" applyBorder="1" applyAlignment="1">
      <alignment wrapText="1"/>
    </xf>
    <xf numFmtId="0" fontId="36" fillId="0" borderId="9" xfId="0" applyFont="1" applyBorder="1" applyAlignment="1">
      <alignment horizontal="right"/>
    </xf>
    <xf numFmtId="176" fontId="25" fillId="0" borderId="0" xfId="0" applyNumberFormat="1" applyFont="1"/>
    <xf numFmtId="176" fontId="34" fillId="3" borderId="0" xfId="0" applyNumberFormat="1" applyFont="1" applyFill="1"/>
    <xf numFmtId="164" fontId="25" fillId="3" borderId="0" xfId="0" applyNumberFormat="1" applyFont="1" applyFill="1"/>
    <xf numFmtId="166" fontId="25" fillId="0" borderId="0" xfId="0" applyNumberFormat="1" applyFont="1"/>
    <xf numFmtId="0" fontId="26" fillId="0" borderId="26" xfId="0" applyFont="1" applyBorder="1" applyAlignment="1">
      <alignment vertical="center" wrapText="1"/>
    </xf>
    <xf numFmtId="0" fontId="25" fillId="0" borderId="20" xfId="0" applyFont="1" applyFill="1" applyBorder="1"/>
    <xf numFmtId="0" fontId="26" fillId="0" borderId="24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171" fontId="26" fillId="0" borderId="13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/>
    <xf numFmtId="0" fontId="26" fillId="0" borderId="9" xfId="0" applyFont="1" applyFill="1" applyBorder="1" applyAlignment="1">
      <alignment horizontal="left" vertical="center" wrapText="1"/>
    </xf>
    <xf numFmtId="176" fontId="26" fillId="0" borderId="0" xfId="0" applyNumberFormat="1" applyFont="1"/>
    <xf numFmtId="176" fontId="25" fillId="0" borderId="18" xfId="0" applyNumberFormat="1" applyFont="1" applyBorder="1"/>
    <xf numFmtId="176" fontId="25" fillId="0" borderId="18" xfId="2" applyNumberFormat="1" applyFont="1" applyBorder="1" applyAlignment="1" applyProtection="1">
      <alignment wrapText="1"/>
    </xf>
    <xf numFmtId="176" fontId="25" fillId="0" borderId="0" xfId="2" applyNumberFormat="1" applyFont="1" applyBorder="1" applyAlignment="1" applyProtection="1">
      <alignment wrapText="1"/>
    </xf>
    <xf numFmtId="176" fontId="25" fillId="0" borderId="21" xfId="2" applyNumberFormat="1" applyFont="1" applyBorder="1" applyAlignment="1" applyProtection="1">
      <alignment wrapText="1"/>
    </xf>
    <xf numFmtId="176" fontId="25" fillId="0" borderId="9" xfId="0" applyNumberFormat="1" applyFont="1" applyBorder="1"/>
    <xf numFmtId="176" fontId="25" fillId="0" borderId="22" xfId="0" applyNumberFormat="1" applyFont="1" applyBorder="1"/>
    <xf numFmtId="176" fontId="25" fillId="0" borderId="16" xfId="0" applyNumberFormat="1" applyFont="1" applyBorder="1"/>
    <xf numFmtId="176" fontId="25" fillId="0" borderId="18" xfId="0" applyNumberFormat="1" applyFont="1" applyBorder="1" applyAlignment="1">
      <alignment wrapText="1"/>
    </xf>
    <xf numFmtId="176" fontId="25" fillId="0" borderId="23" xfId="0" applyNumberFormat="1" applyFont="1" applyBorder="1"/>
    <xf numFmtId="176" fontId="25" fillId="0" borderId="13" xfId="0" applyNumberFormat="1" applyFont="1" applyBorder="1"/>
    <xf numFmtId="176" fontId="34" fillId="0" borderId="0" xfId="0" applyNumberFormat="1" applyFont="1"/>
    <xf numFmtId="0" fontId="34" fillId="0" borderId="0" xfId="0" applyFont="1"/>
    <xf numFmtId="176" fontId="34" fillId="0" borderId="20" xfId="0" applyNumberFormat="1" applyFont="1" applyBorder="1" applyAlignment="1">
      <alignment wrapText="1"/>
    </xf>
    <xf numFmtId="176" fontId="34" fillId="0" borderId="0" xfId="0" applyNumberFormat="1" applyFont="1" applyBorder="1"/>
    <xf numFmtId="176" fontId="34" fillId="0" borderId="20" xfId="0" applyNumberFormat="1" applyFont="1" applyBorder="1"/>
    <xf numFmtId="164" fontId="27" fillId="0" borderId="0" xfId="0" applyNumberFormat="1" applyFont="1" applyBorder="1"/>
    <xf numFmtId="1" fontId="25" fillId="3" borderId="0" xfId="2" applyNumberFormat="1" applyFont="1" applyFill="1" applyBorder="1" applyAlignment="1" applyProtection="1">
      <alignment wrapText="1"/>
    </xf>
    <xf numFmtId="1" fontId="25" fillId="0" borderId="0" xfId="2" applyNumberFormat="1" applyFont="1" applyBorder="1" applyAlignment="1" applyProtection="1">
      <alignment wrapText="1"/>
    </xf>
    <xf numFmtId="1" fontId="25" fillId="0" borderId="0" xfId="2" applyNumberFormat="1" applyFont="1" applyBorder="1" applyAlignment="1" applyProtection="1">
      <alignment horizontal="left"/>
    </xf>
    <xf numFmtId="1" fontId="25" fillId="3" borderId="0" xfId="2" applyNumberFormat="1" applyFont="1" applyFill="1" applyBorder="1" applyAlignment="1" applyProtection="1">
      <alignment horizontal="right"/>
    </xf>
    <xf numFmtId="1" fontId="36" fillId="0" borderId="0" xfId="0" applyNumberFormat="1" applyFont="1" applyBorder="1"/>
    <xf numFmtId="0" fontId="25" fillId="0" borderId="9" xfId="0" applyFont="1" applyFill="1" applyBorder="1" applyAlignment="1">
      <alignment horizontal="right"/>
    </xf>
    <xf numFmtId="172" fontId="36" fillId="0" borderId="9" xfId="0" applyNumberFormat="1" applyFont="1" applyBorder="1"/>
    <xf numFmtId="0" fontId="25" fillId="0" borderId="9" xfId="0" applyFont="1" applyBorder="1" applyAlignment="1">
      <alignment horizontal="right"/>
    </xf>
    <xf numFmtId="1" fontId="25" fillId="0" borderId="9" xfId="0" applyNumberFormat="1" applyFont="1" applyBorder="1"/>
    <xf numFmtId="0" fontId="26" fillId="0" borderId="9" xfId="4" applyFont="1" applyBorder="1" applyAlignment="1"/>
    <xf numFmtId="0" fontId="25" fillId="0" borderId="9" xfId="4" applyFont="1" applyBorder="1" applyAlignment="1"/>
    <xf numFmtId="0" fontId="25" fillId="0" borderId="9" xfId="4" applyFont="1" applyBorder="1" applyAlignment="1">
      <alignment horizontal="center"/>
    </xf>
    <xf numFmtId="0" fontId="26" fillId="3" borderId="9" xfId="4" applyFont="1" applyFill="1" applyBorder="1" applyAlignment="1"/>
    <xf numFmtId="0" fontId="26" fillId="3" borderId="9" xfId="4" applyFont="1" applyFill="1" applyBorder="1" applyAlignment="1">
      <alignment horizontal="center"/>
    </xf>
    <xf numFmtId="0" fontId="25" fillId="0" borderId="18" xfId="4" applyFont="1" applyBorder="1" applyAlignment="1">
      <alignment horizontal="center"/>
    </xf>
    <xf numFmtId="0" fontId="36" fillId="0" borderId="0" xfId="0" applyFont="1" applyBorder="1" applyAlignment="1"/>
    <xf numFmtId="0" fontId="25" fillId="0" borderId="0" xfId="0" applyFont="1" applyBorder="1" applyAlignment="1"/>
    <xf numFmtId="0" fontId="25" fillId="0" borderId="0" xfId="0" applyFont="1" applyBorder="1" applyAlignment="1">
      <alignment horizontal="center"/>
    </xf>
    <xf numFmtId="164" fontId="36" fillId="0" borderId="9" xfId="0" applyNumberFormat="1" applyFont="1" applyBorder="1"/>
    <xf numFmtId="164" fontId="25" fillId="0" borderId="21" xfId="0" applyNumberFormat="1" applyFont="1" applyBorder="1" applyAlignment="1">
      <alignment wrapText="1"/>
    </xf>
    <xf numFmtId="164" fontId="25" fillId="0" borderId="14" xfId="0" applyNumberFormat="1" applyFont="1" applyBorder="1" applyAlignment="1">
      <alignment wrapText="1"/>
    </xf>
    <xf numFmtId="176" fontId="25" fillId="0" borderId="15" xfId="0" applyNumberFormat="1" applyFont="1" applyBorder="1"/>
    <xf numFmtId="0" fontId="25" fillId="0" borderId="0" xfId="4" applyFont="1" applyBorder="1"/>
    <xf numFmtId="0" fontId="25" fillId="0" borderId="0" xfId="4" applyFont="1" applyBorder="1" applyAlignment="1">
      <alignment horizontal="center"/>
    </xf>
    <xf numFmtId="0" fontId="25" fillId="0" borderId="0" xfId="4" applyFont="1" applyBorder="1" applyAlignment="1"/>
    <xf numFmtId="164" fontId="36" fillId="0" borderId="9" xfId="0" applyNumberFormat="1" applyFont="1" applyBorder="1" applyAlignment="1">
      <alignment wrapText="1"/>
    </xf>
    <xf numFmtId="0" fontId="26" fillId="0" borderId="2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0" fontId="25" fillId="0" borderId="0" xfId="0" applyNumberFormat="1" applyFont="1"/>
    <xf numFmtId="164" fontId="37" fillId="0" borderId="0" xfId="0" applyNumberFormat="1" applyFont="1"/>
    <xf numFmtId="0" fontId="6" fillId="2" borderId="9" xfId="0" applyFont="1" applyFill="1" applyBorder="1" applyAlignment="1">
      <alignment horizontal="center" vertical="center" wrapText="1"/>
    </xf>
    <xf numFmtId="175" fontId="31" fillId="0" borderId="9" xfId="3" applyNumberFormat="1" applyFont="1" applyBorder="1" applyAlignment="1" applyProtection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6" fillId="3" borderId="9" xfId="0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0" xfId="0" applyFont="1"/>
    <xf numFmtId="1" fontId="1" fillId="0" borderId="0" xfId="0" applyNumberFormat="1" applyFont="1"/>
    <xf numFmtId="0" fontId="6" fillId="3" borderId="0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1" fillId="0" borderId="18" xfId="0" applyFont="1" applyBorder="1"/>
    <xf numFmtId="166" fontId="1" fillId="3" borderId="18" xfId="2" applyNumberFormat="1" applyFont="1" applyFill="1" applyBorder="1" applyAlignment="1" applyProtection="1">
      <alignment wrapText="1"/>
    </xf>
    <xf numFmtId="176" fontId="1" fillId="3" borderId="18" xfId="2" applyNumberFormat="1" applyFont="1" applyFill="1" applyBorder="1" applyAlignment="1" applyProtection="1">
      <alignment wrapText="1"/>
    </xf>
    <xf numFmtId="176" fontId="1" fillId="3" borderId="21" xfId="2" applyNumberFormat="1" applyFont="1" applyFill="1" applyBorder="1" applyAlignment="1" applyProtection="1">
      <alignment wrapText="1"/>
    </xf>
    <xf numFmtId="166" fontId="1" fillId="3" borderId="0" xfId="2" applyNumberFormat="1" applyFont="1" applyFill="1" applyBorder="1" applyAlignment="1" applyProtection="1">
      <alignment wrapText="1"/>
    </xf>
    <xf numFmtId="176" fontId="1" fillId="3" borderId="0" xfId="2" applyNumberFormat="1" applyFont="1" applyFill="1" applyBorder="1" applyAlignment="1" applyProtection="1">
      <alignment wrapText="1"/>
    </xf>
    <xf numFmtId="166" fontId="1" fillId="0" borderId="0" xfId="2" applyNumberFormat="1" applyFont="1" applyBorder="1"/>
    <xf numFmtId="164" fontId="6" fillId="0" borderId="0" xfId="0" applyNumberFormat="1" applyFont="1" applyBorder="1"/>
    <xf numFmtId="166" fontId="1" fillId="0" borderId="18" xfId="2" applyNumberFormat="1" applyFont="1" applyBorder="1" applyProtection="1"/>
    <xf numFmtId="166" fontId="1" fillId="0" borderId="0" xfId="2" applyNumberFormat="1" applyFont="1" applyBorder="1" applyProtection="1"/>
    <xf numFmtId="166" fontId="1" fillId="0" borderId="0" xfId="2" applyNumberFormat="1" applyFont="1" applyFill="1" applyBorder="1" applyAlignment="1" applyProtection="1">
      <alignment wrapText="1"/>
    </xf>
    <xf numFmtId="0" fontId="1" fillId="0" borderId="0" xfId="0" applyFont="1" applyFill="1" applyBorder="1"/>
    <xf numFmtId="176" fontId="1" fillId="0" borderId="0" xfId="2" applyNumberFormat="1" applyFont="1" applyFill="1" applyBorder="1" applyAlignment="1" applyProtection="1">
      <alignment wrapText="1"/>
    </xf>
    <xf numFmtId="166" fontId="1" fillId="0" borderId="0" xfId="0" applyNumberFormat="1" applyFont="1" applyBorder="1"/>
    <xf numFmtId="0" fontId="1" fillId="0" borderId="18" xfId="0" applyFont="1" applyFill="1" applyBorder="1"/>
    <xf numFmtId="166" fontId="1" fillId="0" borderId="18" xfId="2" applyNumberFormat="1" applyFont="1" applyFill="1" applyBorder="1" applyAlignment="1" applyProtection="1">
      <alignment wrapText="1"/>
    </xf>
    <xf numFmtId="176" fontId="1" fillId="0" borderId="21" xfId="2" applyNumberFormat="1" applyFont="1" applyFill="1" applyBorder="1" applyAlignment="1" applyProtection="1">
      <alignment wrapText="1"/>
    </xf>
    <xf numFmtId="3" fontId="1" fillId="0" borderId="0" xfId="0" applyNumberFormat="1" applyFont="1"/>
    <xf numFmtId="166" fontId="1" fillId="0" borderId="14" xfId="2" applyNumberFormat="1" applyFont="1" applyFill="1" applyBorder="1" applyAlignment="1" applyProtection="1">
      <alignment wrapText="1"/>
    </xf>
    <xf numFmtId="176" fontId="1" fillId="0" borderId="13" xfId="2" applyNumberFormat="1" applyFont="1" applyFill="1" applyBorder="1" applyAlignment="1" applyProtection="1">
      <alignment wrapText="1"/>
    </xf>
    <xf numFmtId="164" fontId="1" fillId="0" borderId="9" xfId="0" applyNumberFormat="1" applyFont="1" applyBorder="1" applyAlignment="1">
      <alignment wrapText="1"/>
    </xf>
    <xf numFmtId="164" fontId="6" fillId="3" borderId="9" xfId="0" applyNumberFormat="1" applyFont="1" applyFill="1" applyBorder="1"/>
    <xf numFmtId="176" fontId="1" fillId="3" borderId="9" xfId="2" applyNumberFormat="1" applyFont="1" applyFill="1" applyBorder="1" applyAlignment="1" applyProtection="1">
      <alignment wrapText="1"/>
    </xf>
    <xf numFmtId="176" fontId="1" fillId="3" borderId="16" xfId="0" applyNumberFormat="1" applyFont="1" applyFill="1" applyBorder="1"/>
    <xf numFmtId="176" fontId="1" fillId="3" borderId="9" xfId="0" applyNumberFormat="1" applyFont="1" applyFill="1" applyBorder="1"/>
    <xf numFmtId="164" fontId="38" fillId="0" borderId="20" xfId="0" applyNumberFormat="1" applyFont="1" applyBorder="1" applyAlignment="1">
      <alignment wrapText="1"/>
    </xf>
    <xf numFmtId="164" fontId="39" fillId="3" borderId="0" xfId="0" applyNumberFormat="1" applyFont="1" applyFill="1" applyBorder="1"/>
    <xf numFmtId="176" fontId="38" fillId="3" borderId="0" xfId="0" applyNumberFormat="1" applyFont="1" applyFill="1" applyBorder="1"/>
    <xf numFmtId="176" fontId="38" fillId="3" borderId="0" xfId="2" applyNumberFormat="1" applyFont="1" applyFill="1" applyBorder="1" applyAlignment="1" applyProtection="1">
      <alignment wrapText="1"/>
    </xf>
    <xf numFmtId="164" fontId="1" fillId="0" borderId="0" xfId="0" applyNumberFormat="1" applyFont="1"/>
    <xf numFmtId="164" fontId="1" fillId="0" borderId="0" xfId="0" applyNumberFormat="1" applyFont="1" applyBorder="1"/>
    <xf numFmtId="164" fontId="1" fillId="0" borderId="0" xfId="0" applyNumberFormat="1" applyFont="1" applyBorder="1" applyAlignment="1">
      <alignment wrapText="1"/>
    </xf>
    <xf numFmtId="164" fontId="6" fillId="3" borderId="0" xfId="0" applyNumberFormat="1" applyFont="1" applyFill="1" applyBorder="1"/>
    <xf numFmtId="176" fontId="1" fillId="3" borderId="0" xfId="0" applyNumberFormat="1" applyFont="1" applyFill="1" applyBorder="1"/>
    <xf numFmtId="164" fontId="1" fillId="3" borderId="0" xfId="2" applyNumberFormat="1" applyFont="1" applyFill="1" applyBorder="1" applyAlignment="1" applyProtection="1">
      <alignment wrapText="1"/>
    </xf>
    <xf numFmtId="164" fontId="38" fillId="0" borderId="0" xfId="0" applyNumberFormat="1" applyFont="1" applyBorder="1" applyAlignment="1">
      <alignment wrapText="1"/>
    </xf>
    <xf numFmtId="164" fontId="1" fillId="0" borderId="26" xfId="0" applyNumberFormat="1" applyFont="1" applyBorder="1" applyAlignment="1">
      <alignment wrapText="1"/>
    </xf>
    <xf numFmtId="0" fontId="1" fillId="3" borderId="23" xfId="0" applyFont="1" applyFill="1" applyBorder="1" applyAlignment="1">
      <alignment horizontal="center" wrapText="1"/>
    </xf>
    <xf numFmtId="1" fontId="1" fillId="3" borderId="0" xfId="2" applyNumberFormat="1" applyFont="1" applyFill="1" applyBorder="1" applyProtection="1"/>
    <xf numFmtId="164" fontId="1" fillId="0" borderId="18" xfId="0" applyNumberFormat="1" applyFont="1" applyBorder="1" applyAlignment="1">
      <alignment wrapText="1"/>
    </xf>
    <xf numFmtId="164" fontId="1" fillId="3" borderId="0" xfId="0" applyNumberFormat="1" applyFont="1" applyFill="1" applyBorder="1"/>
    <xf numFmtId="0" fontId="41" fillId="0" borderId="0" xfId="0" applyFont="1"/>
    <xf numFmtId="166" fontId="1" fillId="3" borderId="0" xfId="2" applyNumberFormat="1" applyFont="1" applyFill="1" applyBorder="1" applyProtection="1"/>
    <xf numFmtId="166" fontId="1" fillId="0" borderId="9" xfId="2" applyNumberFormat="1" applyFont="1" applyBorder="1" applyProtection="1"/>
    <xf numFmtId="0" fontId="1" fillId="3" borderId="0" xfId="0" applyFont="1" applyFill="1" applyBorder="1"/>
    <xf numFmtId="0" fontId="42" fillId="6" borderId="0" xfId="0" applyFont="1" applyFill="1"/>
    <xf numFmtId="0" fontId="43" fillId="6" borderId="0" xfId="0" applyFont="1" applyFill="1"/>
    <xf numFmtId="0" fontId="1" fillId="11" borderId="0" xfId="0" applyFont="1" applyFill="1" applyBorder="1"/>
    <xf numFmtId="0" fontId="1" fillId="11" borderId="0" xfId="0" applyFont="1" applyFill="1"/>
    <xf numFmtId="0" fontId="1" fillId="11" borderId="0" xfId="0" applyFont="1" applyFill="1" applyAlignment="1">
      <alignment horizontal="center"/>
    </xf>
    <xf numFmtId="0" fontId="42" fillId="0" borderId="9" xfId="0" applyFont="1" applyFill="1" applyBorder="1" applyAlignment="1">
      <alignment horizontal="right"/>
    </xf>
    <xf numFmtId="1" fontId="6" fillId="0" borderId="24" xfId="0" applyNumberFormat="1" applyFont="1" applyFill="1" applyBorder="1" applyAlignment="1">
      <alignment horizontal="center" vertical="center" wrapText="1"/>
    </xf>
    <xf numFmtId="1" fontId="42" fillId="0" borderId="24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43" fillId="0" borderId="0" xfId="0" applyFont="1" applyFill="1"/>
    <xf numFmtId="176" fontId="43" fillId="0" borderId="9" xfId="0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43" fillId="0" borderId="0" xfId="0" applyFont="1"/>
    <xf numFmtId="0" fontId="1" fillId="12" borderId="0" xfId="0" applyFont="1" applyFill="1"/>
    <xf numFmtId="0" fontId="42" fillId="0" borderId="0" xfId="0" applyFont="1" applyBorder="1" applyAlignment="1"/>
    <xf numFmtId="1" fontId="42" fillId="0" borderId="0" xfId="0" applyNumberFormat="1" applyFont="1" applyBorder="1" applyAlignment="1"/>
    <xf numFmtId="1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" fillId="10" borderId="0" xfId="0" applyFont="1" applyFill="1"/>
    <xf numFmtId="0" fontId="42" fillId="6" borderId="0" xfId="0" applyFont="1" applyFill="1" applyBorder="1"/>
    <xf numFmtId="0" fontId="42" fillId="0" borderId="9" xfId="0" applyFont="1" applyBorder="1" applyAlignment="1">
      <alignment horizontal="right" vertical="center"/>
    </xf>
    <xf numFmtId="0" fontId="42" fillId="0" borderId="9" xfId="0" applyFont="1" applyBorder="1" applyAlignment="1">
      <alignment vertical="center" wrapText="1"/>
    </xf>
    <xf numFmtId="0" fontId="42" fillId="0" borderId="24" xfId="0" applyFont="1" applyBorder="1" applyAlignment="1">
      <alignment horizontal="right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42" fillId="0" borderId="24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right"/>
    </xf>
    <xf numFmtId="172" fontId="43" fillId="0" borderId="9" xfId="0" applyNumberFormat="1" applyFont="1" applyBorder="1" applyAlignment="1"/>
    <xf numFmtId="176" fontId="43" fillId="0" borderId="9" xfId="0" applyNumberFormat="1" applyFont="1" applyBorder="1" applyAlignment="1">
      <alignment vertical="center" wrapText="1"/>
    </xf>
    <xf numFmtId="176" fontId="43" fillId="0" borderId="9" xfId="0" applyNumberFormat="1" applyFont="1" applyBorder="1"/>
    <xf numFmtId="0" fontId="1" fillId="0" borderId="0" xfId="0" applyFont="1" applyBorder="1" applyAlignment="1">
      <alignment vertical="center"/>
    </xf>
    <xf numFmtId="0" fontId="43" fillId="0" borderId="9" xfId="0" applyFont="1" applyBorder="1"/>
    <xf numFmtId="0" fontId="1" fillId="0" borderId="9" xfId="0" applyFont="1" applyBorder="1"/>
    <xf numFmtId="0" fontId="42" fillId="0" borderId="0" xfId="0" applyFont="1" applyBorder="1" applyAlignment="1">
      <alignment horizontal="right"/>
    </xf>
    <xf numFmtId="0" fontId="43" fillId="0" borderId="0" xfId="0" applyFont="1" applyBorder="1"/>
    <xf numFmtId="0" fontId="1" fillId="3" borderId="0" xfId="0" applyFont="1" applyFill="1"/>
    <xf numFmtId="0" fontId="1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 wrapText="1"/>
    </xf>
    <xf numFmtId="0" fontId="42" fillId="0" borderId="9" xfId="0" applyFont="1" applyBorder="1" applyAlignment="1">
      <alignment wrapText="1"/>
    </xf>
    <xf numFmtId="172" fontId="1" fillId="0" borderId="9" xfId="2" applyNumberFormat="1" applyFont="1" applyBorder="1"/>
    <xf numFmtId="176" fontId="43" fillId="0" borderId="9" xfId="0" applyNumberFormat="1" applyFont="1" applyBorder="1" applyAlignment="1">
      <alignment wrapText="1"/>
    </xf>
    <xf numFmtId="176" fontId="43" fillId="0" borderId="24" xfId="0" applyNumberFormat="1" applyFont="1" applyBorder="1" applyAlignment="1">
      <alignment wrapText="1"/>
    </xf>
    <xf numFmtId="0" fontId="42" fillId="12" borderId="9" xfId="0" applyFont="1" applyFill="1" applyBorder="1" applyAlignment="1">
      <alignment horizontal="right"/>
    </xf>
    <xf numFmtId="0" fontId="42" fillId="12" borderId="9" xfId="0" quotePrefix="1" applyFont="1" applyFill="1" applyBorder="1" applyAlignment="1">
      <alignment horizontal="right" wrapText="1"/>
    </xf>
    <xf numFmtId="176" fontId="44" fillId="12" borderId="9" xfId="0" applyNumberFormat="1" applyFont="1" applyFill="1" applyBorder="1" applyAlignment="1">
      <alignment horizontal="right" wrapText="1"/>
    </xf>
    <xf numFmtId="176" fontId="44" fillId="12" borderId="24" xfId="0" applyNumberFormat="1" applyFont="1" applyFill="1" applyBorder="1" applyAlignment="1">
      <alignment horizontal="right" wrapText="1"/>
    </xf>
    <xf numFmtId="176" fontId="43" fillId="12" borderId="9" xfId="0" applyNumberFormat="1" applyFont="1" applyFill="1" applyBorder="1" applyAlignment="1">
      <alignment wrapText="1"/>
    </xf>
    <xf numFmtId="172" fontId="43" fillId="12" borderId="9" xfId="0" applyNumberFormat="1" applyFont="1" applyFill="1" applyBorder="1" applyAlignment="1"/>
    <xf numFmtId="176" fontId="43" fillId="12" borderId="9" xfId="0" applyNumberFormat="1" applyFont="1" applyFill="1" applyBorder="1"/>
    <xf numFmtId="0" fontId="43" fillId="0" borderId="9" xfId="0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176" fontId="43" fillId="0" borderId="0" xfId="0" applyNumberFormat="1" applyFont="1" applyBorder="1"/>
    <xf numFmtId="176" fontId="43" fillId="12" borderId="0" xfId="0" applyNumberFormat="1" applyFont="1" applyFill="1" applyBorder="1" applyAlignment="1">
      <alignment wrapText="1"/>
    </xf>
    <xf numFmtId="172" fontId="20" fillId="0" borderId="9" xfId="2" applyNumberFormat="1" applyBorder="1"/>
    <xf numFmtId="176" fontId="1" fillId="0" borderId="24" xfId="0" applyNumberFormat="1" applyFont="1" applyBorder="1" applyAlignment="1">
      <alignment horizontal="right" vertical="center" wrapText="1"/>
    </xf>
    <xf numFmtId="176" fontId="1" fillId="0" borderId="0" xfId="0" applyNumberFormat="1" applyFont="1" applyBorder="1"/>
    <xf numFmtId="166" fontId="20" fillId="0" borderId="0" xfId="2" applyNumberFormat="1" applyBorder="1"/>
    <xf numFmtId="176" fontId="46" fillId="3" borderId="9" xfId="2" applyNumberFormat="1" applyFont="1" applyFill="1" applyBorder="1" applyAlignment="1" applyProtection="1">
      <alignment wrapText="1"/>
    </xf>
    <xf numFmtId="176" fontId="47" fillId="3" borderId="9" xfId="0" applyNumberFormat="1" applyFont="1" applyFill="1" applyBorder="1" applyAlignment="1">
      <alignment wrapText="1"/>
    </xf>
    <xf numFmtId="164" fontId="48" fillId="0" borderId="0" xfId="0" applyNumberFormat="1" applyFont="1" applyBorder="1" applyAlignment="1">
      <alignment wrapText="1"/>
    </xf>
    <xf numFmtId="164" fontId="49" fillId="0" borderId="0" xfId="0" applyNumberFormat="1" applyFont="1" applyBorder="1" applyAlignment="1">
      <alignment wrapText="1"/>
    </xf>
    <xf numFmtId="181" fontId="46" fillId="3" borderId="0" xfId="0" applyNumberFormat="1" applyFont="1" applyFill="1" applyBorder="1" applyAlignment="1">
      <alignment wrapText="1"/>
    </xf>
    <xf numFmtId="0" fontId="46" fillId="0" borderId="0" xfId="0" applyFont="1" applyAlignment="1">
      <alignment wrapText="1"/>
    </xf>
    <xf numFmtId="165" fontId="46" fillId="3" borderId="0" xfId="0" applyNumberFormat="1" applyFont="1" applyFill="1" applyAlignment="1">
      <alignment wrapText="1"/>
    </xf>
    <xf numFmtId="166" fontId="46" fillId="3" borderId="0" xfId="0" applyNumberFormat="1" applyFont="1" applyFill="1" applyAlignment="1">
      <alignment wrapText="1"/>
    </xf>
    <xf numFmtId="0" fontId="46" fillId="3" borderId="0" xfId="0" applyFont="1" applyFill="1" applyAlignment="1">
      <alignment wrapText="1"/>
    </xf>
    <xf numFmtId="0" fontId="6" fillId="3" borderId="21" xfId="0" applyFont="1" applyFill="1" applyBorder="1" applyAlignment="1">
      <alignment vertical="center" wrapText="1"/>
    </xf>
    <xf numFmtId="164" fontId="6" fillId="3" borderId="20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164" fontId="6" fillId="3" borderId="21" xfId="2" applyNumberFormat="1" applyFont="1" applyFill="1" applyBorder="1" applyAlignment="1" applyProtection="1">
      <alignment wrapText="1"/>
    </xf>
    <xf numFmtId="177" fontId="1" fillId="0" borderId="0" xfId="0" applyNumberFormat="1" applyFont="1"/>
    <xf numFmtId="176" fontId="1" fillId="0" borderId="0" xfId="0" applyNumberFormat="1" applyFont="1"/>
    <xf numFmtId="176" fontId="1" fillId="3" borderId="13" xfId="2" applyNumberFormat="1" applyFont="1" applyFill="1" applyBorder="1" applyAlignment="1" applyProtection="1">
      <alignment wrapText="1"/>
    </xf>
    <xf numFmtId="164" fontId="1" fillId="3" borderId="21" xfId="2" applyNumberFormat="1" applyFont="1" applyFill="1" applyBorder="1" applyAlignment="1" applyProtection="1">
      <alignment wrapText="1"/>
    </xf>
    <xf numFmtId="176" fontId="1" fillId="3" borderId="22" xfId="2" applyNumberFormat="1" applyFont="1" applyFill="1" applyBorder="1" applyAlignment="1" applyProtection="1">
      <alignment wrapText="1"/>
    </xf>
    <xf numFmtId="164" fontId="1" fillId="3" borderId="18" xfId="0" applyNumberFormat="1" applyFont="1" applyFill="1" applyBorder="1"/>
    <xf numFmtId="0" fontId="49" fillId="0" borderId="0" xfId="0" applyFont="1"/>
    <xf numFmtId="176" fontId="38" fillId="3" borderId="0" xfId="0" applyNumberFormat="1" applyFont="1" applyFill="1"/>
    <xf numFmtId="0" fontId="50" fillId="3" borderId="0" xfId="0" applyFont="1" applyFill="1"/>
    <xf numFmtId="0" fontId="50" fillId="0" borderId="0" xfId="0" applyFont="1"/>
    <xf numFmtId="0" fontId="1" fillId="3" borderId="17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164" fontId="1" fillId="3" borderId="17" xfId="0" applyNumberFormat="1" applyFont="1" applyFill="1" applyBorder="1" applyAlignment="1">
      <alignment horizontal="left" wrapText="1"/>
    </xf>
    <xf numFmtId="164" fontId="1" fillId="3" borderId="16" xfId="0" applyNumberFormat="1" applyFont="1" applyFill="1" applyBorder="1" applyAlignment="1">
      <alignment horizontal="left" wrapText="1"/>
    </xf>
    <xf numFmtId="177" fontId="1" fillId="3" borderId="9" xfId="0" applyNumberFormat="1" applyFont="1" applyFill="1" applyBorder="1"/>
    <xf numFmtId="164" fontId="1" fillId="3" borderId="0" xfId="0" applyNumberFormat="1" applyFont="1" applyFill="1"/>
    <xf numFmtId="0" fontId="51" fillId="0" borderId="0" xfId="0" applyFont="1" applyAlignment="1">
      <alignment horizontal="left" vertical="center" indent="3"/>
    </xf>
    <xf numFmtId="0" fontId="1" fillId="3" borderId="17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175" fontId="1" fillId="3" borderId="9" xfId="0" applyNumberFormat="1" applyFont="1" applyFill="1" applyBorder="1"/>
    <xf numFmtId="1" fontId="1" fillId="3" borderId="0" xfId="0" applyNumberFormat="1" applyFont="1" applyFill="1"/>
    <xf numFmtId="164" fontId="1" fillId="3" borderId="9" xfId="0" applyNumberFormat="1" applyFont="1" applyFill="1" applyBorder="1"/>
    <xf numFmtId="10" fontId="1" fillId="3" borderId="0" xfId="0" applyNumberFormat="1" applyFont="1" applyFill="1"/>
    <xf numFmtId="166" fontId="1" fillId="0" borderId="0" xfId="0" applyNumberFormat="1" applyFont="1"/>
    <xf numFmtId="166" fontId="1" fillId="3" borderId="0" xfId="0" applyNumberFormat="1" applyFont="1" applyFill="1"/>
    <xf numFmtId="1" fontId="6" fillId="0" borderId="9" xfId="0" applyNumberFormat="1" applyFont="1" applyBorder="1" applyAlignment="1">
      <alignment horizontal="center" vertical="center" wrapText="1"/>
    </xf>
    <xf numFmtId="1" fontId="6" fillId="3" borderId="24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Border="1"/>
    <xf numFmtId="176" fontId="6" fillId="3" borderId="9" xfId="0" applyNumberFormat="1" applyFont="1" applyFill="1" applyBorder="1" applyAlignment="1">
      <alignment horizontal="center" vertical="center" wrapText="1"/>
    </xf>
    <xf numFmtId="164" fontId="38" fillId="0" borderId="0" xfId="0" applyNumberFormat="1" applyFont="1"/>
    <xf numFmtId="1" fontId="6" fillId="3" borderId="0" xfId="0" applyNumberFormat="1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wrapText="1"/>
    </xf>
    <xf numFmtId="172" fontId="43" fillId="0" borderId="14" xfId="0" applyNumberFormat="1" applyFont="1" applyBorder="1" applyAlignment="1"/>
    <xf numFmtId="177" fontId="43" fillId="0" borderId="14" xfId="0" applyNumberFormat="1" applyFont="1" applyBorder="1" applyAlignment="1">
      <alignment wrapText="1"/>
    </xf>
    <xf numFmtId="177" fontId="43" fillId="3" borderId="14" xfId="0" applyNumberFormat="1" applyFont="1" applyFill="1" applyBorder="1"/>
    <xf numFmtId="177" fontId="43" fillId="0" borderId="9" xfId="0" applyNumberFormat="1" applyFont="1" applyBorder="1"/>
    <xf numFmtId="177" fontId="43" fillId="3" borderId="9" xfId="0" applyNumberFormat="1" applyFont="1" applyFill="1" applyBorder="1"/>
    <xf numFmtId="0" fontId="1" fillId="3" borderId="9" xfId="0" applyFont="1" applyFill="1" applyBorder="1"/>
    <xf numFmtId="0" fontId="43" fillId="3" borderId="0" xfId="0" applyFont="1" applyFill="1" applyBorder="1"/>
    <xf numFmtId="1" fontId="6" fillId="3" borderId="0" xfId="0" applyNumberFormat="1" applyFont="1" applyFill="1" applyBorder="1" applyAlignment="1">
      <alignment horizontal="right" vertical="center" wrapText="1"/>
    </xf>
    <xf numFmtId="1" fontId="52" fillId="3" borderId="0" xfId="0" applyNumberFormat="1" applyFont="1" applyFill="1" applyBorder="1" applyAlignment="1">
      <alignment wrapText="1"/>
    </xf>
    <xf numFmtId="1" fontId="52" fillId="0" borderId="0" xfId="0" applyNumberFormat="1" applyFont="1" applyBorder="1" applyAlignment="1">
      <alignment wrapText="1"/>
    </xf>
    <xf numFmtId="176" fontId="42" fillId="0" borderId="9" xfId="0" applyNumberFormat="1" applyFont="1" applyBorder="1" applyAlignment="1">
      <alignment wrapText="1"/>
    </xf>
    <xf numFmtId="176" fontId="1" fillId="3" borderId="24" xfId="0" applyNumberFormat="1" applyFont="1" applyFill="1" applyBorder="1" applyAlignment="1">
      <alignment horizontal="right" vertical="center" wrapText="1"/>
    </xf>
    <xf numFmtId="176" fontId="1" fillId="3" borderId="9" xfId="0" applyNumberFormat="1" applyFont="1" applyFill="1" applyBorder="1" applyAlignment="1">
      <alignment horizontal="right" vertical="center" wrapText="1"/>
    </xf>
    <xf numFmtId="176" fontId="43" fillId="0" borderId="9" xfId="0" applyNumberFormat="1" applyFont="1" applyBorder="1" applyAlignment="1">
      <alignment horizontal="right" wrapText="1"/>
    </xf>
    <xf numFmtId="176" fontId="43" fillId="3" borderId="9" xfId="0" applyNumberFormat="1" applyFont="1" applyFill="1" applyBorder="1"/>
    <xf numFmtId="0" fontId="6" fillId="0" borderId="0" xfId="0" applyFont="1" applyBorder="1" applyAlignment="1">
      <alignment vertical="center" wrapText="1"/>
    </xf>
    <xf numFmtId="176" fontId="47" fillId="0" borderId="9" xfId="0" applyNumberFormat="1" applyFont="1" applyBorder="1" applyAlignment="1">
      <alignment wrapText="1"/>
    </xf>
    <xf numFmtId="176" fontId="48" fillId="0" borderId="0" xfId="0" applyNumberFormat="1" applyFont="1" applyBorder="1" applyAlignment="1">
      <alignment wrapText="1"/>
    </xf>
    <xf numFmtId="176" fontId="46" fillId="0" borderId="0" xfId="0" applyNumberFormat="1" applyFont="1" applyAlignment="1">
      <alignment wrapText="1"/>
    </xf>
    <xf numFmtId="0" fontId="43" fillId="0" borderId="24" xfId="0" applyFont="1" applyBorder="1" applyAlignment="1">
      <alignment wrapText="1"/>
    </xf>
    <xf numFmtId="172" fontId="44" fillId="0" borderId="9" xfId="0" applyNumberFormat="1" applyFont="1" applyBorder="1" applyAlignment="1">
      <alignment horizontal="right" wrapText="1"/>
    </xf>
    <xf numFmtId="0" fontId="42" fillId="0" borderId="9" xfId="0" applyFont="1" applyBorder="1" applyAlignment="1">
      <alignment horizontal="right" wrapText="1"/>
    </xf>
    <xf numFmtId="176" fontId="41" fillId="0" borderId="24" xfId="0" applyNumberFormat="1" applyFont="1" applyBorder="1" applyAlignment="1">
      <alignment horizontal="right" vertical="center" wrapText="1"/>
    </xf>
    <xf numFmtId="176" fontId="43" fillId="12" borderId="9" xfId="0" applyNumberFormat="1" applyFont="1" applyFill="1" applyBorder="1" applyAlignment="1">
      <alignment horizontal="right"/>
    </xf>
    <xf numFmtId="0" fontId="42" fillId="13" borderId="9" xfId="0" applyFont="1" applyFill="1" applyBorder="1" applyAlignment="1">
      <alignment horizontal="right" wrapText="1"/>
    </xf>
    <xf numFmtId="176" fontId="43" fillId="13" borderId="9" xfId="0" applyNumberFormat="1" applyFont="1" applyFill="1" applyBorder="1" applyAlignment="1">
      <alignment horizontal="right"/>
    </xf>
    <xf numFmtId="176" fontId="43" fillId="13" borderId="9" xfId="0" applyNumberFormat="1" applyFont="1" applyFill="1" applyBorder="1"/>
    <xf numFmtId="0" fontId="1" fillId="13" borderId="0" xfId="0" applyFont="1" applyFill="1"/>
    <xf numFmtId="176" fontId="1" fillId="0" borderId="9" xfId="0" applyNumberFormat="1" applyFont="1" applyBorder="1" applyAlignment="1">
      <alignment horizontal="right" vertical="center" wrapText="1"/>
    </xf>
    <xf numFmtId="0" fontId="43" fillId="7" borderId="0" xfId="0" applyFont="1" applyFill="1"/>
    <xf numFmtId="0" fontId="42" fillId="7" borderId="0" xfId="0" applyFont="1" applyFill="1"/>
    <xf numFmtId="0" fontId="43" fillId="3" borderId="0" xfId="0" applyFont="1" applyFill="1"/>
    <xf numFmtId="178" fontId="42" fillId="0" borderId="9" xfId="0" applyNumberFormat="1" applyFont="1" applyBorder="1" applyAlignment="1">
      <alignment horizontal="right"/>
    </xf>
    <xf numFmtId="179" fontId="43" fillId="0" borderId="9" xfId="0" applyNumberFormat="1" applyFont="1" applyBorder="1" applyAlignment="1"/>
    <xf numFmtId="176" fontId="44" fillId="0" borderId="9" xfId="0" applyNumberFormat="1" applyFont="1" applyBorder="1" applyAlignment="1">
      <alignment wrapText="1"/>
    </xf>
    <xf numFmtId="0" fontId="42" fillId="14" borderId="0" xfId="0" applyFont="1" applyFill="1"/>
    <xf numFmtId="179" fontId="43" fillId="0" borderId="9" xfId="0" applyNumberFormat="1" applyFont="1" applyBorder="1"/>
    <xf numFmtId="178" fontId="43" fillId="0" borderId="9" xfId="0" applyNumberFormat="1" applyFont="1" applyBorder="1" applyAlignment="1">
      <alignment horizontal="right"/>
    </xf>
    <xf numFmtId="164" fontId="43" fillId="0" borderId="0" xfId="0" applyNumberFormat="1" applyFont="1" applyBorder="1"/>
    <xf numFmtId="0" fontId="42" fillId="8" borderId="0" xfId="0" applyFont="1" applyFill="1"/>
    <xf numFmtId="0" fontId="1" fillId="8" borderId="0" xfId="0" applyFont="1" applyFill="1"/>
    <xf numFmtId="172" fontId="1" fillId="8" borderId="0" xfId="0" applyNumberFormat="1" applyFont="1" applyFill="1" applyAlignment="1">
      <alignment horizontal="right"/>
    </xf>
    <xf numFmtId="0" fontId="1" fillId="8" borderId="0" xfId="0" applyFont="1" applyFill="1" applyBorder="1"/>
    <xf numFmtId="164" fontId="43" fillId="0" borderId="9" xfId="0" applyNumberFormat="1" applyFont="1" applyBorder="1"/>
    <xf numFmtId="1" fontId="1" fillId="3" borderId="0" xfId="2" applyNumberFormat="1" applyFont="1" applyFill="1" applyBorder="1" applyAlignment="1" applyProtection="1">
      <alignment horizontal="right"/>
    </xf>
    <xf numFmtId="176" fontId="1" fillId="0" borderId="9" xfId="0" applyNumberFormat="1" applyFont="1" applyBorder="1"/>
    <xf numFmtId="172" fontId="1" fillId="3" borderId="9" xfId="2" applyNumberFormat="1" applyFont="1" applyFill="1" applyBorder="1" applyProtection="1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176" fontId="1" fillId="3" borderId="9" xfId="0" applyNumberFormat="1" applyFont="1" applyFill="1" applyBorder="1" applyAlignment="1">
      <alignment vertical="center" wrapText="1"/>
    </xf>
    <xf numFmtId="164" fontId="53" fillId="0" borderId="20" xfId="0" applyNumberFormat="1" applyFont="1" applyBorder="1" applyAlignment="1">
      <alignment wrapText="1"/>
    </xf>
    <xf numFmtId="176" fontId="53" fillId="3" borderId="0" xfId="0" applyNumberFormat="1" applyFont="1" applyFill="1"/>
    <xf numFmtId="0" fontId="6" fillId="0" borderId="24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1" fontId="6" fillId="0" borderId="13" xfId="0" applyNumberFormat="1" applyFont="1" applyFill="1" applyBorder="1" applyAlignment="1">
      <alignment horizontal="center" vertical="center" wrapText="1"/>
    </xf>
    <xf numFmtId="176" fontId="1" fillId="0" borderId="18" xfId="0" applyNumberFormat="1" applyFont="1" applyBorder="1"/>
    <xf numFmtId="176" fontId="1" fillId="0" borderId="18" xfId="2" applyNumberFormat="1" applyFont="1" applyBorder="1" applyAlignment="1" applyProtection="1">
      <alignment wrapText="1"/>
    </xf>
    <xf numFmtId="176" fontId="1" fillId="0" borderId="0" xfId="2" applyNumberFormat="1" applyFont="1" applyBorder="1" applyAlignment="1" applyProtection="1">
      <alignment wrapText="1"/>
    </xf>
    <xf numFmtId="176" fontId="1" fillId="0" borderId="21" xfId="2" applyNumberFormat="1" applyFont="1" applyBorder="1" applyAlignment="1" applyProtection="1">
      <alignment wrapText="1"/>
    </xf>
    <xf numFmtId="176" fontId="1" fillId="0" borderId="22" xfId="0" applyNumberFormat="1" applyFont="1" applyBorder="1"/>
    <xf numFmtId="176" fontId="1" fillId="0" borderId="16" xfId="0" applyNumberFormat="1" applyFont="1" applyBorder="1"/>
    <xf numFmtId="176" fontId="1" fillId="0" borderId="18" xfId="0" applyNumberFormat="1" applyFont="1" applyBorder="1" applyAlignment="1">
      <alignment wrapText="1"/>
    </xf>
    <xf numFmtId="176" fontId="1" fillId="0" borderId="23" xfId="0" applyNumberFormat="1" applyFont="1" applyBorder="1"/>
    <xf numFmtId="176" fontId="1" fillId="0" borderId="13" xfId="0" applyNumberFormat="1" applyFont="1" applyBorder="1"/>
    <xf numFmtId="176" fontId="38" fillId="0" borderId="20" xfId="0" applyNumberFormat="1" applyFont="1" applyBorder="1" applyAlignment="1">
      <alignment wrapText="1"/>
    </xf>
    <xf numFmtId="176" fontId="38" fillId="0" borderId="0" xfId="0" applyNumberFormat="1" applyFont="1" applyBorder="1"/>
    <xf numFmtId="176" fontId="38" fillId="0" borderId="20" xfId="0" applyNumberFormat="1" applyFont="1" applyBorder="1"/>
    <xf numFmtId="176" fontId="46" fillId="0" borderId="9" xfId="2" quotePrefix="1" applyNumberFormat="1" applyFont="1" applyBorder="1" applyAlignment="1" applyProtection="1">
      <alignment wrapText="1"/>
    </xf>
    <xf numFmtId="176" fontId="47" fillId="0" borderId="9" xfId="0" applyNumberFormat="1" applyFont="1" applyBorder="1"/>
    <xf numFmtId="176" fontId="48" fillId="0" borderId="0" xfId="0" applyNumberFormat="1" applyFont="1" applyBorder="1"/>
    <xf numFmtId="0" fontId="46" fillId="0" borderId="0" xfId="0" applyFont="1"/>
    <xf numFmtId="165" fontId="46" fillId="0" borderId="0" xfId="2" applyNumberFormat="1" applyFont="1" applyBorder="1" applyProtection="1"/>
    <xf numFmtId="166" fontId="46" fillId="0" borderId="0" xfId="0" applyNumberFormat="1" applyFont="1"/>
    <xf numFmtId="176" fontId="46" fillId="0" borderId="9" xfId="2" applyNumberFormat="1" applyFont="1" applyBorder="1" applyAlignment="1" applyProtection="1">
      <alignment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1" fontId="6" fillId="0" borderId="27" xfId="0" applyNumberFormat="1" applyFont="1" applyBorder="1" applyAlignment="1">
      <alignment horizontal="center" vertical="center" wrapText="1"/>
    </xf>
    <xf numFmtId="176" fontId="1" fillId="0" borderId="14" xfId="2" applyNumberFormat="1" applyFont="1" applyBorder="1" applyAlignment="1" applyProtection="1">
      <alignment wrapText="1"/>
    </xf>
    <xf numFmtId="176" fontId="1" fillId="0" borderId="17" xfId="0" applyNumberFormat="1" applyFont="1" applyBorder="1"/>
    <xf numFmtId="164" fontId="1" fillId="0" borderId="23" xfId="0" applyNumberFormat="1" applyFont="1" applyBorder="1"/>
    <xf numFmtId="164" fontId="1" fillId="0" borderId="13" xfId="0" applyNumberFormat="1" applyFont="1" applyBorder="1"/>
    <xf numFmtId="1" fontId="1" fillId="0" borderId="9" xfId="2" applyNumberFormat="1" applyFont="1" applyBorder="1" applyProtection="1"/>
    <xf numFmtId="177" fontId="1" fillId="0" borderId="9" xfId="0" applyNumberFormat="1" applyFont="1" applyBorder="1"/>
    <xf numFmtId="182" fontId="43" fillId="0" borderId="24" xfId="0" applyNumberFormat="1" applyFont="1" applyBorder="1" applyAlignment="1">
      <alignment wrapText="1"/>
    </xf>
    <xf numFmtId="176" fontId="44" fillId="0" borderId="24" xfId="0" applyNumberFormat="1" applyFont="1" applyBorder="1" applyAlignment="1">
      <alignment horizontal="right" vertical="center" wrapText="1"/>
    </xf>
    <xf numFmtId="177" fontId="43" fillId="0" borderId="9" xfId="0" applyNumberFormat="1" applyFont="1" applyBorder="1" applyAlignment="1">
      <alignment horizontal="right"/>
    </xf>
    <xf numFmtId="0" fontId="43" fillId="0" borderId="9" xfId="0" applyNumberFormat="1" applyFont="1" applyBorder="1" applyAlignment="1">
      <alignment horizontal="right"/>
    </xf>
    <xf numFmtId="0" fontId="43" fillId="0" borderId="9" xfId="0" applyNumberFormat="1" applyFont="1" applyBorder="1"/>
    <xf numFmtId="0" fontId="1" fillId="0" borderId="9" xfId="0" applyNumberFormat="1" applyFont="1" applyBorder="1"/>
    <xf numFmtId="176" fontId="44" fillId="0" borderId="9" xfId="0" applyNumberFormat="1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right" vertical="center" wrapText="1"/>
    </xf>
    <xf numFmtId="173" fontId="1" fillId="0" borderId="0" xfId="0" applyNumberFormat="1" applyFont="1"/>
    <xf numFmtId="176" fontId="1" fillId="3" borderId="17" xfId="0" applyNumberFormat="1" applyFont="1" applyFill="1" applyBorder="1" applyAlignment="1">
      <alignment horizontal="left"/>
    </xf>
    <xf numFmtId="176" fontId="1" fillId="3" borderId="16" xfId="0" applyNumberFormat="1" applyFont="1" applyFill="1" applyBorder="1" applyAlignment="1">
      <alignment horizontal="left"/>
    </xf>
    <xf numFmtId="172" fontId="43" fillId="0" borderId="9" xfId="0" applyNumberFormat="1" applyFont="1" applyBorder="1"/>
    <xf numFmtId="172" fontId="43" fillId="0" borderId="9" xfId="0" quotePrefix="1" applyNumberFormat="1" applyFont="1" applyBorder="1" applyAlignment="1"/>
    <xf numFmtId="1" fontId="1" fillId="0" borderId="9" xfId="0" applyNumberFormat="1" applyFont="1" applyBorder="1"/>
    <xf numFmtId="0" fontId="6" fillId="0" borderId="0" xfId="4" applyFont="1"/>
    <xf numFmtId="0" fontId="1" fillId="0" borderId="0" xfId="4" applyFont="1"/>
    <xf numFmtId="0" fontId="1" fillId="0" borderId="0" xfId="4" applyFont="1" applyBorder="1"/>
    <xf numFmtId="0" fontId="1" fillId="0" borderId="0" xfId="4" applyFont="1" applyBorder="1" applyAlignment="1">
      <alignment horizontal="center"/>
    </xf>
    <xf numFmtId="0" fontId="1" fillId="0" borderId="0" xfId="4" applyFont="1" applyBorder="1" applyAlignment="1"/>
    <xf numFmtId="0" fontId="54" fillId="12" borderId="34" xfId="5" applyFont="1" applyFill="1" applyBorder="1"/>
    <xf numFmtId="0" fontId="6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/>
    <xf numFmtId="164" fontId="1" fillId="0" borderId="21" xfId="0" applyNumberFormat="1" applyFont="1" applyBorder="1" applyAlignment="1">
      <alignment wrapText="1"/>
    </xf>
    <xf numFmtId="176" fontId="38" fillId="0" borderId="0" xfId="0" applyNumberFormat="1" applyFont="1" applyBorder="1" applyAlignment="1">
      <alignment wrapText="1"/>
    </xf>
    <xf numFmtId="165" fontId="46" fillId="0" borderId="0" xfId="0" applyNumberFormat="1" applyFont="1"/>
    <xf numFmtId="0" fontId="47" fillId="0" borderId="9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 wrapText="1"/>
    </xf>
    <xf numFmtId="177" fontId="48" fillId="0" borderId="0" xfId="0" applyNumberFormat="1" applyFont="1" applyBorder="1" applyAlignment="1">
      <alignment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1" fillId="0" borderId="26" xfId="0" applyFont="1" applyBorder="1"/>
    <xf numFmtId="171" fontId="6" fillId="0" borderId="21" xfId="0" applyNumberFormat="1" applyFont="1" applyBorder="1" applyAlignment="1">
      <alignment horizontal="center" vertical="center" wrapText="1"/>
    </xf>
    <xf numFmtId="176" fontId="1" fillId="3" borderId="14" xfId="2" applyNumberFormat="1" applyFont="1" applyFill="1" applyBorder="1" applyAlignment="1" applyProtection="1">
      <alignment wrapText="1"/>
    </xf>
    <xf numFmtId="176" fontId="1" fillId="3" borderId="22" xfId="0" applyNumberFormat="1" applyFont="1" applyFill="1" applyBorder="1"/>
    <xf numFmtId="164" fontId="1" fillId="3" borderId="23" xfId="0" applyNumberFormat="1" applyFont="1" applyFill="1" applyBorder="1"/>
    <xf numFmtId="164" fontId="1" fillId="3" borderId="17" xfId="0" applyNumberFormat="1" applyFont="1" applyFill="1" applyBorder="1"/>
    <xf numFmtId="164" fontId="1" fillId="0" borderId="16" xfId="0" applyNumberFormat="1" applyFont="1" applyBorder="1"/>
    <xf numFmtId="1" fontId="1" fillId="0" borderId="0" xfId="2" applyNumberFormat="1" applyFont="1" applyBorder="1" applyProtection="1"/>
    <xf numFmtId="164" fontId="53" fillId="0" borderId="0" xfId="0" applyNumberFormat="1" applyFont="1"/>
    <xf numFmtId="0" fontId="1" fillId="0" borderId="0" xfId="0" applyFont="1" applyBorder="1" applyAlignment="1"/>
    <xf numFmtId="1" fontId="1" fillId="3" borderId="23" xfId="2" applyNumberFormat="1" applyFont="1" applyFill="1" applyBorder="1" applyAlignment="1" applyProtection="1">
      <alignment horizontal="left" wrapText="1"/>
    </xf>
    <xf numFmtId="172" fontId="1" fillId="0" borderId="9" xfId="2" applyNumberFormat="1" applyFont="1" applyBorder="1" applyProtection="1"/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4" fontId="1" fillId="0" borderId="0" xfId="2" applyNumberFormat="1" applyFont="1" applyBorder="1" applyAlignment="1" applyProtection="1">
      <alignment wrapText="1"/>
    </xf>
    <xf numFmtId="176" fontId="1" fillId="0" borderId="26" xfId="2" applyNumberFormat="1" applyFont="1" applyBorder="1" applyAlignment="1" applyProtection="1">
      <alignment wrapText="1"/>
    </xf>
    <xf numFmtId="180" fontId="1" fillId="0" borderId="21" xfId="2" applyNumberFormat="1" applyFont="1" applyBorder="1" applyAlignment="1" applyProtection="1">
      <alignment wrapText="1"/>
    </xf>
    <xf numFmtId="176" fontId="1" fillId="0" borderId="21" xfId="0" applyNumberFormat="1" applyFont="1" applyBorder="1"/>
    <xf numFmtId="165" fontId="1" fillId="0" borderId="0" xfId="0" applyNumberFormat="1" applyFont="1" applyBorder="1"/>
    <xf numFmtId="177" fontId="1" fillId="0" borderId="22" xfId="0" applyNumberFormat="1" applyFont="1" applyBorder="1"/>
    <xf numFmtId="177" fontId="1" fillId="0" borderId="16" xfId="0" applyNumberFormat="1" applyFont="1" applyBorder="1"/>
    <xf numFmtId="164" fontId="1" fillId="0" borderId="22" xfId="0" applyNumberFormat="1" applyFont="1" applyBorder="1"/>
    <xf numFmtId="177" fontId="50" fillId="0" borderId="20" xfId="2" applyNumberFormat="1" applyFont="1" applyBorder="1" applyAlignment="1" applyProtection="1">
      <alignment wrapText="1"/>
    </xf>
    <xf numFmtId="177" fontId="50" fillId="0" borderId="0" xfId="0" applyNumberFormat="1" applyFont="1"/>
    <xf numFmtId="177" fontId="38" fillId="0" borderId="0" xfId="2" applyNumberFormat="1" applyFont="1" applyBorder="1" applyProtection="1"/>
    <xf numFmtId="164" fontId="38" fillId="0" borderId="0" xfId="2" applyNumberFormat="1" applyFont="1" applyBorder="1" applyProtection="1"/>
    <xf numFmtId="176" fontId="50" fillId="0" borderId="20" xfId="2" applyNumberFormat="1" applyFont="1" applyBorder="1" applyAlignment="1" applyProtection="1">
      <alignment wrapText="1"/>
    </xf>
    <xf numFmtId="176" fontId="38" fillId="0" borderId="0" xfId="2" applyNumberFormat="1" applyFont="1" applyBorder="1" applyProtection="1"/>
    <xf numFmtId="1" fontId="1" fillId="3" borderId="9" xfId="2" applyNumberFormat="1" applyFont="1" applyFill="1" applyBorder="1" applyAlignment="1" applyProtection="1">
      <alignment horizontal="right" wrapText="1"/>
    </xf>
    <xf numFmtId="172" fontId="1" fillId="0" borderId="16" xfId="2" applyNumberFormat="1" applyFont="1" applyBorder="1" applyProtection="1"/>
    <xf numFmtId="0" fontId="6" fillId="0" borderId="25" xfId="0" applyFont="1" applyBorder="1" applyAlignment="1">
      <alignment horizontal="left" vertical="center" wrapText="1"/>
    </xf>
    <xf numFmtId="164" fontId="1" fillId="0" borderId="9" xfId="0" applyNumberFormat="1" applyFont="1" applyBorder="1"/>
    <xf numFmtId="164" fontId="1" fillId="0" borderId="21" xfId="2" applyNumberFormat="1" applyFont="1" applyBorder="1" applyAlignment="1" applyProtection="1">
      <alignment wrapText="1"/>
    </xf>
    <xf numFmtId="167" fontId="1" fillId="0" borderId="21" xfId="2" applyNumberFormat="1" applyFont="1" applyBorder="1" applyAlignment="1" applyProtection="1">
      <alignment wrapText="1"/>
    </xf>
    <xf numFmtId="167" fontId="1" fillId="0" borderId="21" xfId="0" applyNumberFormat="1" applyFont="1" applyBorder="1"/>
    <xf numFmtId="176" fontId="1" fillId="0" borderId="27" xfId="0" applyNumberFormat="1" applyFont="1" applyBorder="1"/>
    <xf numFmtId="167" fontId="1" fillId="0" borderId="27" xfId="0" applyNumberFormat="1" applyFont="1" applyBorder="1"/>
    <xf numFmtId="165" fontId="1" fillId="0" borderId="18" xfId="0" applyNumberFormat="1" applyFont="1" applyBorder="1" applyAlignment="1">
      <alignment wrapText="1"/>
    </xf>
    <xf numFmtId="167" fontId="1" fillId="0" borderId="16" xfId="0" applyNumberFormat="1" applyFont="1" applyBorder="1"/>
    <xf numFmtId="165" fontId="38" fillId="0" borderId="26" xfId="0" applyNumberFormat="1" applyFont="1" applyBorder="1" applyAlignment="1">
      <alignment wrapText="1"/>
    </xf>
    <xf numFmtId="165" fontId="38" fillId="0" borderId="0" xfId="0" applyNumberFormat="1" applyFont="1" applyBorder="1" applyAlignment="1">
      <alignment wrapText="1"/>
    </xf>
    <xf numFmtId="167" fontId="38" fillId="0" borderId="20" xfId="0" applyNumberFormat="1" applyFont="1" applyBorder="1"/>
    <xf numFmtId="0" fontId="38" fillId="0" borderId="0" xfId="0" applyFont="1"/>
    <xf numFmtId="165" fontId="1" fillId="0" borderId="26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174" fontId="1" fillId="0" borderId="0" xfId="0" applyNumberFormat="1" applyFont="1" applyBorder="1"/>
    <xf numFmtId="1" fontId="1" fillId="0" borderId="0" xfId="0" applyNumberFormat="1" applyFont="1" applyBorder="1"/>
    <xf numFmtId="167" fontId="1" fillId="0" borderId="0" xfId="0" applyNumberFormat="1" applyFont="1" applyBorder="1"/>
    <xf numFmtId="164" fontId="46" fillId="0" borderId="0" xfId="0" applyNumberFormat="1" applyFont="1"/>
    <xf numFmtId="176" fontId="46" fillId="0" borderId="9" xfId="0" applyNumberFormat="1" applyFont="1" applyBorder="1"/>
    <xf numFmtId="0" fontId="46" fillId="0" borderId="35" xfId="0" applyFont="1" applyBorder="1" applyAlignment="1">
      <alignment horizontal="center" vertical="center" wrapText="1"/>
    </xf>
    <xf numFmtId="164" fontId="46" fillId="0" borderId="35" xfId="0" applyNumberFormat="1" applyFont="1" applyBorder="1"/>
    <xf numFmtId="176" fontId="46" fillId="0" borderId="35" xfId="0" applyNumberFormat="1" applyFont="1" applyBorder="1"/>
    <xf numFmtId="176" fontId="46" fillId="0" borderId="36" xfId="0" applyNumberFormat="1" applyFont="1" applyBorder="1"/>
    <xf numFmtId="176" fontId="47" fillId="0" borderId="30" xfId="0" applyNumberFormat="1" applyFont="1" applyBorder="1"/>
    <xf numFmtId="0" fontId="48" fillId="0" borderId="0" xfId="0" applyFont="1"/>
    <xf numFmtId="164" fontId="6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71" fontId="6" fillId="0" borderId="1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wrapText="1"/>
    </xf>
    <xf numFmtId="164" fontId="1" fillId="0" borderId="21" xfId="0" applyNumberFormat="1" applyFont="1" applyBorder="1"/>
    <xf numFmtId="0" fontId="1" fillId="0" borderId="3" xfId="0" applyFont="1" applyBorder="1"/>
    <xf numFmtId="10" fontId="1" fillId="0" borderId="3" xfId="2" applyNumberFormat="1" applyFont="1" applyBorder="1" applyAlignment="1" applyProtection="1">
      <alignment wrapText="1"/>
    </xf>
    <xf numFmtId="0" fontId="1" fillId="0" borderId="7" xfId="0" applyFont="1" applyBorder="1"/>
    <xf numFmtId="165" fontId="1" fillId="0" borderId="14" xfId="0" applyNumberFormat="1" applyFont="1" applyBorder="1" applyAlignment="1">
      <alignment wrapText="1"/>
    </xf>
    <xf numFmtId="167" fontId="1" fillId="0" borderId="0" xfId="0" applyNumberFormat="1" applyFont="1"/>
    <xf numFmtId="0" fontId="46" fillId="0" borderId="9" xfId="0" applyFont="1" applyBorder="1"/>
    <xf numFmtId="164" fontId="46" fillId="0" borderId="9" xfId="0" applyNumberFormat="1" applyFont="1" applyBorder="1"/>
    <xf numFmtId="164" fontId="46" fillId="0" borderId="0" xfId="0" applyNumberFormat="1" applyFont="1" applyBorder="1" applyAlignment="1">
      <alignment wrapText="1"/>
    </xf>
    <xf numFmtId="164" fontId="47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164" fontId="46" fillId="3" borderId="0" xfId="0" applyNumberFormat="1" applyFont="1" applyFill="1" applyBorder="1" applyAlignment="1">
      <alignment wrapText="1"/>
    </xf>
    <xf numFmtId="166" fontId="46" fillId="3" borderId="0" xfId="2" applyNumberFormat="1" applyFont="1" applyFill="1" applyBorder="1" applyAlignment="1" applyProtection="1">
      <alignment wrapText="1"/>
    </xf>
    <xf numFmtId="0" fontId="46" fillId="3" borderId="0" xfId="0" applyFont="1" applyFill="1" applyBorder="1" applyAlignment="1">
      <alignment wrapText="1"/>
    </xf>
    <xf numFmtId="0" fontId="55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175" fontId="45" fillId="0" borderId="9" xfId="3" applyNumberFormat="1" applyFont="1" applyBorder="1" applyAlignment="1" applyProtection="1">
      <alignment horizontal="center" vertical="center" wrapText="1"/>
    </xf>
    <xf numFmtId="175" fontId="45" fillId="0" borderId="9" xfId="3" applyNumberFormat="1" applyFont="1" applyBorder="1" applyAlignment="1" applyProtection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3" borderId="9" xfId="0" applyFont="1" applyFill="1" applyBorder="1" applyAlignment="1">
      <alignment horizontal="center" vertical="center" wrapText="1"/>
    </xf>
    <xf numFmtId="175" fontId="45" fillId="3" borderId="9" xfId="3" applyNumberFormat="1" applyFont="1" applyFill="1" applyBorder="1" applyAlignment="1" applyProtection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center" wrapText="1"/>
    </xf>
    <xf numFmtId="10" fontId="4" fillId="0" borderId="22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10" fontId="4" fillId="0" borderId="9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 wrapText="1"/>
    </xf>
    <xf numFmtId="165" fontId="0" fillId="0" borderId="26" xfId="0" applyNumberFormat="1" applyFont="1" applyBorder="1" applyAlignment="1">
      <alignment horizontal="center" wrapText="1"/>
    </xf>
    <xf numFmtId="169" fontId="4" fillId="0" borderId="9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wrapText="1"/>
    </xf>
    <xf numFmtId="164" fontId="1" fillId="3" borderId="9" xfId="0" applyNumberFormat="1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42" fillId="0" borderId="21" xfId="0" applyFont="1" applyFill="1" applyBorder="1" applyAlignment="1">
      <alignment horizontal="right"/>
    </xf>
    <xf numFmtId="0" fontId="43" fillId="0" borderId="9" xfId="0" applyFont="1" applyBorder="1" applyAlignment="1">
      <alignment horizontal="right"/>
    </xf>
    <xf numFmtId="0" fontId="42" fillId="0" borderId="9" xfId="0" applyFont="1" applyBorder="1" applyAlignment="1">
      <alignment horizontal="right"/>
    </xf>
    <xf numFmtId="0" fontId="44" fillId="12" borderId="9" xfId="0" applyFont="1" applyFill="1" applyBorder="1" applyAlignment="1">
      <alignment horizontal="right"/>
    </xf>
    <xf numFmtId="0" fontId="6" fillId="0" borderId="0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42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42" fillId="0" borderId="13" xfId="0" applyFont="1" applyBorder="1" applyAlignment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1" fontId="1" fillId="3" borderId="23" xfId="2" applyNumberFormat="1" applyFont="1" applyFill="1" applyBorder="1" applyAlignment="1" applyProtection="1">
      <alignment horizontal="center" wrapText="1"/>
    </xf>
    <xf numFmtId="0" fontId="42" fillId="0" borderId="9" xfId="0" applyFont="1" applyBorder="1" applyAlignment="1">
      <alignment horizontal="left" vertical="center" wrapText="1"/>
    </xf>
    <xf numFmtId="0" fontId="1" fillId="0" borderId="9" xfId="0" applyFont="1" applyBorder="1"/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" fontId="1" fillId="3" borderId="0" xfId="2" applyNumberFormat="1" applyFont="1" applyFill="1" applyBorder="1" applyAlignment="1" applyProtection="1">
      <alignment horizontal="center" wrapText="1"/>
    </xf>
    <xf numFmtId="164" fontId="1" fillId="3" borderId="9" xfId="0" applyNumberFormat="1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right"/>
    </xf>
    <xf numFmtId="0" fontId="42" fillId="0" borderId="9" xfId="0" applyFont="1" applyBorder="1" applyAlignment="1">
      <alignment horizontal="right" wrapText="1"/>
    </xf>
    <xf numFmtId="164" fontId="43" fillId="0" borderId="9" xfId="0" applyNumberFormat="1" applyFont="1" applyBorder="1" applyAlignment="1">
      <alignment horizontal="right" wrapText="1"/>
    </xf>
    <xf numFmtId="0" fontId="42" fillId="12" borderId="9" xfId="0" applyFont="1" applyFill="1" applyBorder="1" applyAlignment="1">
      <alignment horizontal="right" wrapText="1"/>
    </xf>
    <xf numFmtId="0" fontId="43" fillId="0" borderId="9" xfId="0" applyFont="1" applyBorder="1" applyAlignment="1">
      <alignment horizontal="right" wrapText="1"/>
    </xf>
    <xf numFmtId="0" fontId="26" fillId="0" borderId="17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" fontId="25" fillId="3" borderId="0" xfId="2" applyNumberFormat="1" applyFont="1" applyFill="1" applyBorder="1" applyAlignment="1" applyProtection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0" borderId="9" xfId="2" applyNumberFormat="1" applyFont="1" applyBorder="1" applyAlignment="1" applyProtection="1">
      <alignment horizontal="right" wrapText="1"/>
    </xf>
    <xf numFmtId="0" fontId="6" fillId="0" borderId="17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164" fontId="1" fillId="3" borderId="17" xfId="0" applyNumberFormat="1" applyFont="1" applyFill="1" applyBorder="1" applyAlignment="1">
      <alignment horizontal="center" wrapText="1"/>
    </xf>
    <xf numFmtId="164" fontId="1" fillId="3" borderId="16" xfId="0" applyNumberFormat="1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1" fillId="3" borderId="9" xfId="2" applyNumberFormat="1" applyFont="1" applyFill="1" applyBorder="1" applyAlignment="1" applyProtection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12" borderId="0" xfId="0" quotePrefix="1" applyFill="1" applyAlignment="1">
      <alignment horizontal="right"/>
    </xf>
    <xf numFmtId="0" fontId="1" fillId="12" borderId="9" xfId="0" applyFont="1" applyFill="1" applyBorder="1" applyAlignment="1">
      <alignment vertical="center" wrapText="1"/>
    </xf>
    <xf numFmtId="0" fontId="9" fillId="12" borderId="9" xfId="3" applyFill="1" applyBorder="1" applyAlignment="1">
      <alignment vertical="center"/>
    </xf>
    <xf numFmtId="176" fontId="9" fillId="12" borderId="9" xfId="3" applyNumberFormat="1" applyFill="1" applyBorder="1" applyAlignment="1">
      <alignment vertical="center"/>
    </xf>
    <xf numFmtId="176" fontId="25" fillId="12" borderId="9" xfId="0" applyNumberFormat="1" applyFont="1" applyFill="1" applyBorder="1" applyAlignment="1">
      <alignment wrapText="1"/>
    </xf>
    <xf numFmtId="176" fontId="1" fillId="12" borderId="9" xfId="0" applyNumberFormat="1" applyFont="1" applyFill="1" applyBorder="1" applyAlignment="1">
      <alignment wrapText="1"/>
    </xf>
    <xf numFmtId="176" fontId="1" fillId="12" borderId="0" xfId="0" applyNumberFormat="1" applyFont="1" applyFill="1" applyBorder="1" applyAlignment="1">
      <alignment wrapText="1"/>
    </xf>
    <xf numFmtId="164" fontId="0" fillId="12" borderId="0" xfId="0" applyNumberFormat="1" applyFont="1" applyFill="1" applyBorder="1" applyAlignment="1">
      <alignment wrapText="1"/>
    </xf>
    <xf numFmtId="176" fontId="0" fillId="12" borderId="9" xfId="0" applyNumberFormat="1" applyFill="1" applyBorder="1"/>
    <xf numFmtId="0" fontId="0" fillId="12" borderId="0" xfId="0" applyFill="1"/>
    <xf numFmtId="0" fontId="0" fillId="12" borderId="9" xfId="0" applyFont="1" applyFill="1" applyBorder="1" applyAlignment="1">
      <alignment vertical="center" wrapText="1"/>
    </xf>
    <xf numFmtId="164" fontId="25" fillId="12" borderId="0" xfId="0" applyNumberFormat="1" applyFont="1" applyFill="1" applyAlignment="1">
      <alignment wrapText="1"/>
    </xf>
    <xf numFmtId="176" fontId="0" fillId="12" borderId="9" xfId="0" applyNumberFormat="1" applyFont="1" applyFill="1" applyBorder="1" applyAlignment="1">
      <alignment wrapText="1"/>
    </xf>
    <xf numFmtId="0" fontId="56" fillId="0" borderId="9" xfId="3" applyFont="1" applyBorder="1" applyAlignment="1" applyProtection="1">
      <alignment horizontal="center" vertical="center" wrapText="1"/>
    </xf>
    <xf numFmtId="176" fontId="57" fillId="0" borderId="9" xfId="2" applyNumberFormat="1" applyFont="1" applyBorder="1" applyAlignment="1" applyProtection="1">
      <alignment wrapText="1"/>
    </xf>
    <xf numFmtId="176" fontId="58" fillId="0" borderId="9" xfId="0" applyNumberFormat="1" applyFont="1" applyBorder="1" applyAlignment="1">
      <alignment wrapText="1"/>
    </xf>
    <xf numFmtId="176" fontId="59" fillId="0" borderId="0" xfId="0" applyNumberFormat="1" applyFont="1" applyBorder="1" applyAlignment="1">
      <alignment wrapText="1"/>
    </xf>
    <xf numFmtId="164" fontId="59" fillId="0" borderId="0" xfId="0" applyNumberFormat="1" applyFont="1" applyBorder="1" applyAlignment="1">
      <alignment wrapText="1"/>
    </xf>
    <xf numFmtId="0" fontId="57" fillId="0" borderId="0" xfId="0" applyFont="1" applyAlignment="1">
      <alignment wrapText="1"/>
    </xf>
    <xf numFmtId="176" fontId="57" fillId="0" borderId="0" xfId="0" applyNumberFormat="1" applyFont="1" applyAlignment="1">
      <alignment wrapText="1"/>
    </xf>
    <xf numFmtId="175" fontId="56" fillId="0" borderId="9" xfId="3" applyNumberFormat="1" applyFont="1" applyBorder="1" applyAlignment="1" applyProtection="1">
      <alignment horizontal="center" vertical="center" wrapText="1"/>
    </xf>
    <xf numFmtId="175" fontId="56" fillId="0" borderId="17" xfId="3" applyNumberFormat="1" applyFont="1" applyBorder="1" applyAlignment="1" applyProtection="1">
      <alignment horizontal="center" vertical="center" wrapText="1"/>
    </xf>
    <xf numFmtId="175" fontId="56" fillId="0" borderId="22" xfId="3" applyNumberFormat="1" applyFont="1" applyBorder="1" applyAlignment="1" applyProtection="1">
      <alignment horizontal="center" vertical="center" wrapText="1"/>
    </xf>
    <xf numFmtId="175" fontId="56" fillId="0" borderId="16" xfId="3" applyNumberFormat="1" applyFont="1" applyBorder="1" applyAlignment="1" applyProtection="1">
      <alignment horizontal="center" vertical="center" wrapText="1"/>
    </xf>
    <xf numFmtId="176" fontId="58" fillId="0" borderId="9" xfId="0" applyNumberFormat="1" applyFont="1" applyBorder="1" applyAlignment="1">
      <alignment horizontal="center" vertical="center" wrapText="1"/>
    </xf>
    <xf numFmtId="167" fontId="58" fillId="0" borderId="9" xfId="0" applyNumberFormat="1" applyFont="1" applyBorder="1" applyAlignment="1">
      <alignment wrapText="1"/>
    </xf>
    <xf numFmtId="177" fontId="59" fillId="0" borderId="0" xfId="2" applyNumberFormat="1" applyFont="1" applyBorder="1" applyAlignment="1">
      <alignment wrapText="1"/>
    </xf>
    <xf numFmtId="0" fontId="57" fillId="0" borderId="9" xfId="0" applyFont="1" applyBorder="1" applyAlignment="1">
      <alignment horizontal="center" vertical="center" wrapText="1"/>
    </xf>
    <xf numFmtId="164" fontId="58" fillId="0" borderId="9" xfId="0" applyNumberFormat="1" applyFont="1" applyBorder="1" applyAlignment="1">
      <alignment horizontal="center" vertical="center"/>
    </xf>
    <xf numFmtId="167" fontId="58" fillId="0" borderId="9" xfId="0" applyNumberFormat="1" applyFont="1" applyBorder="1"/>
    <xf numFmtId="176" fontId="59" fillId="0" borderId="0" xfId="0" applyNumberFormat="1" applyFont="1" applyBorder="1"/>
    <xf numFmtId="0" fontId="57" fillId="0" borderId="0" xfId="0" applyFont="1"/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176" fontId="57" fillId="0" borderId="9" xfId="0" applyNumberFormat="1" applyFont="1" applyBorder="1"/>
  </cellXfs>
  <cellStyles count="6">
    <cellStyle name="Lien hypertexte" xfId="3" builtinId="8"/>
    <cellStyle name="Monétaire" xfId="1" builtinId="4"/>
    <cellStyle name="Normal" xfId="0" builtinId="0"/>
    <cellStyle name="Normal 2" xfId="5"/>
    <cellStyle name="Pourcentage" xfId="2" builtinId="5"/>
    <cellStyle name="TableStyleLight1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53735"/>
      <rgbColor rgb="FFEEECE1"/>
      <rgbColor rgb="FFDCE6F2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99CCFF"/>
      <rgbColor rgb="FFFF99CC"/>
      <rgbColor rgb="FFCC99FF"/>
      <rgbColor rgb="FFE6B9B8"/>
      <rgbColor rgb="FF538DD5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358589</xdr:colOff>
      <xdr:row>0</xdr:row>
      <xdr:rowOff>0</xdr:rowOff>
    </xdr:from>
    <xdr:to>
      <xdr:col>1</xdr:col>
      <xdr:colOff>1247587</xdr:colOff>
      <xdr:row>5</xdr:row>
      <xdr:rowOff>130735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3756" y="0"/>
          <a:ext cx="888998" cy="108323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5"/>
    <pageSetUpPr fitToPage="1"/>
  </sheetPr>
  <dimension ref="A1:ALS44"/>
  <sheetViews>
    <sheetView topLeftCell="A16" zoomScale="70" zoomScaleNormal="70" workbookViewId="0">
      <selection activeCell="M39" sqref="M39"/>
    </sheetView>
  </sheetViews>
  <sheetFormatPr baseColWidth="10" defaultColWidth="9.140625" defaultRowHeight="15" x14ac:dyDescent="0.25"/>
  <cols>
    <col min="1" max="1" width="4.140625" style="25" customWidth="1"/>
    <col min="2" max="2" width="37.28515625" customWidth="1"/>
    <col min="3" max="3" width="71.42578125" style="1" customWidth="1"/>
    <col min="4" max="4" width="17.7109375" style="198" customWidth="1"/>
    <col min="5" max="5" width="19.42578125" style="220" customWidth="1"/>
    <col min="6" max="6" width="18.7109375" style="2" customWidth="1"/>
    <col min="7" max="7" width="17.85546875" style="2" customWidth="1"/>
    <col min="8" max="8" width="3.7109375" style="2" hidden="1" customWidth="1"/>
    <col min="9" max="9" width="1.140625" style="2" customWidth="1"/>
    <col min="10" max="10" width="22.28515625" style="146" customWidth="1"/>
    <col min="11" max="11" width="9.140625" style="4"/>
    <col min="12" max="13" width="9.140625" style="5"/>
    <col min="14" max="14" width="9.140625" style="6"/>
    <col min="15" max="15" width="9.140625" style="1"/>
    <col min="16" max="16" width="9.140625" style="3"/>
    <col min="17" max="17" width="9.140625" style="7"/>
    <col min="18" max="1007" width="9.140625" style="1"/>
  </cols>
  <sheetData>
    <row r="1" spans="1:1007" x14ac:dyDescent="0.25">
      <c r="C1"/>
      <c r="D1" s="153"/>
      <c r="E1" s="207"/>
      <c r="F1"/>
      <c r="G1"/>
      <c r="H1" s="25"/>
      <c r="I1"/>
      <c r="J1" s="14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</row>
    <row r="2" spans="1:1007" s="25" customFormat="1" x14ac:dyDescent="0.25">
      <c r="D2" s="153"/>
      <c r="E2" s="207"/>
      <c r="J2" s="142"/>
    </row>
    <row r="3" spans="1:1007" s="25" customFormat="1" x14ac:dyDescent="0.25">
      <c r="D3" s="153"/>
      <c r="E3" s="207"/>
      <c r="J3" s="142"/>
    </row>
    <row r="4" spans="1:1007" x14ac:dyDescent="0.25">
      <c r="C4"/>
      <c r="D4" s="153"/>
      <c r="E4" s="691" t="s">
        <v>451</v>
      </c>
      <c r="F4" s="691"/>
      <c r="G4" s="691"/>
      <c r="H4" s="691"/>
      <c r="I4" s="691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</row>
    <row r="5" spans="1:1007" s="10" customFormat="1" x14ac:dyDescent="0.25">
      <c r="C5" s="690"/>
      <c r="D5" s="199"/>
      <c r="E5" s="208"/>
      <c r="J5" s="146"/>
      <c r="K5" s="12"/>
      <c r="L5" s="13"/>
      <c r="M5" s="13"/>
      <c r="N5" s="14"/>
      <c r="P5" s="11"/>
      <c r="Q5" s="15"/>
    </row>
    <row r="6" spans="1:1007" x14ac:dyDescent="0.25">
      <c r="C6" s="696" t="s">
        <v>369</v>
      </c>
      <c r="D6" s="696"/>
      <c r="E6" s="696"/>
      <c r="F6" s="696"/>
      <c r="G6" s="696"/>
      <c r="H6" s="696"/>
      <c r="I6" s="696"/>
      <c r="J6" s="59"/>
      <c r="K6" s="12"/>
      <c r="L6" s="13"/>
      <c r="M6" s="13"/>
      <c r="N6" s="14"/>
      <c r="O6"/>
      <c r="P6" s="11"/>
      <c r="Q6" s="15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</row>
    <row r="7" spans="1:1007" ht="44.25" customHeight="1" x14ac:dyDescent="0.25">
      <c r="B7" s="167" t="s">
        <v>422</v>
      </c>
      <c r="C7" s="697" t="s">
        <v>418</v>
      </c>
      <c r="D7" s="697"/>
      <c r="E7" s="697"/>
      <c r="F7" s="697"/>
      <c r="G7" s="697"/>
      <c r="H7" s="181"/>
      <c r="I7" s="189"/>
      <c r="J7" s="334" t="s">
        <v>428</v>
      </c>
      <c r="K7" s="12"/>
      <c r="L7" s="13"/>
      <c r="M7" s="13"/>
      <c r="N7" s="14"/>
      <c r="O7"/>
      <c r="P7" s="11"/>
      <c r="Q7" s="1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</row>
    <row r="8" spans="1:1007" ht="45" x14ac:dyDescent="0.25">
      <c r="B8" s="158"/>
      <c r="C8" s="52" t="s">
        <v>2</v>
      </c>
      <c r="D8" s="143" t="s">
        <v>423</v>
      </c>
      <c r="E8" s="209" t="s">
        <v>430</v>
      </c>
      <c r="F8" s="143" t="s">
        <v>424</v>
      </c>
      <c r="G8" s="143" t="s">
        <v>425</v>
      </c>
      <c r="H8" s="182"/>
      <c r="I8" s="182"/>
      <c r="J8" s="143" t="s">
        <v>424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</row>
    <row r="9" spans="1:1007" ht="15" customHeight="1" x14ac:dyDescent="0.25">
      <c r="A9" s="194" t="s">
        <v>404</v>
      </c>
      <c r="B9" s="172" t="s">
        <v>419</v>
      </c>
      <c r="C9" s="175" t="s">
        <v>6</v>
      </c>
      <c r="D9" s="200">
        <f>'COUT PAR IP DES OUTILS'!C28</f>
        <v>560351</v>
      </c>
      <c r="E9" s="210">
        <v>429705.51943964802</v>
      </c>
      <c r="F9" s="173">
        <f>D9-G9</f>
        <v>431853.67010262259</v>
      </c>
      <c r="G9" s="173">
        <f>'COUT PAR IP DES OUTILS'!C26</f>
        <v>128497.32989737741</v>
      </c>
      <c r="H9" s="183">
        <f>E9-F9-G9</f>
        <v>-130645.48056035198</v>
      </c>
      <c r="I9" s="178"/>
      <c r="J9" s="14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</row>
    <row r="10" spans="1:1007" ht="16.5" customHeight="1" x14ac:dyDescent="0.25">
      <c r="A10" s="194" t="s">
        <v>404</v>
      </c>
      <c r="B10" s="172" t="s">
        <v>419</v>
      </c>
      <c r="C10" s="175" t="s">
        <v>355</v>
      </c>
      <c r="D10" s="200">
        <f>'COUT PAR IP DES OUTILS'!D28</f>
        <v>36372</v>
      </c>
      <c r="E10" s="210">
        <v>26453.503124287348</v>
      </c>
      <c r="F10" s="173">
        <f t="shared" ref="F10:F15" si="0">D10-G10</f>
        <v>26915.372892436339</v>
      </c>
      <c r="G10" s="173">
        <f>'COUT PAR IP DES OUTILS'!D26</f>
        <v>9456.6271075636632</v>
      </c>
      <c r="H10" s="183">
        <f>E10-F10-G10</f>
        <v>-9918.4968757126535</v>
      </c>
      <c r="I10" s="178"/>
      <c r="J10" s="14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</row>
    <row r="11" spans="1:1007" s="784" customFormat="1" ht="15.75" customHeight="1" x14ac:dyDescent="0.25">
      <c r="A11" s="775" t="s">
        <v>404</v>
      </c>
      <c r="B11" s="776" t="s">
        <v>419</v>
      </c>
      <c r="C11" s="777" t="s">
        <v>356</v>
      </c>
      <c r="D11" s="778">
        <f>'COUT PAR IP DES OUTILS'!I28</f>
        <v>101745</v>
      </c>
      <c r="E11" s="779">
        <v>50000</v>
      </c>
      <c r="F11" s="780">
        <f>D11-G11</f>
        <v>50872.691165553078</v>
      </c>
      <c r="G11" s="780">
        <f>'COUT PAR IP DES OUTILS'!I26</f>
        <v>50872.308834446922</v>
      </c>
      <c r="H11" s="781" t="e">
        <f>#REF!-F11-G11</f>
        <v>#REF!</v>
      </c>
      <c r="I11" s="782"/>
      <c r="J11" s="783">
        <f>F11</f>
        <v>50872.691165553078</v>
      </c>
    </row>
    <row r="12" spans="1:1007" s="784" customFormat="1" x14ac:dyDescent="0.25">
      <c r="A12" s="775" t="s">
        <v>406</v>
      </c>
      <c r="B12" s="785" t="s">
        <v>409</v>
      </c>
      <c r="C12" s="777" t="s">
        <v>420</v>
      </c>
      <c r="D12" s="778">
        <f>'COUT PAR IP DES OUTILS'!J28</f>
        <v>35000</v>
      </c>
      <c r="E12" s="786">
        <v>0</v>
      </c>
      <c r="F12" s="780">
        <f t="shared" si="0"/>
        <v>35000</v>
      </c>
      <c r="G12" s="780">
        <v>0</v>
      </c>
      <c r="H12" s="781">
        <f>E13-F12-G12</f>
        <v>5000</v>
      </c>
      <c r="I12" s="782"/>
      <c r="J12" s="783">
        <f>D12</f>
        <v>35000</v>
      </c>
    </row>
    <row r="13" spans="1:1007" s="784" customFormat="1" x14ac:dyDescent="0.25">
      <c r="A13" s="775"/>
      <c r="B13" s="785"/>
      <c r="C13" s="777" t="s">
        <v>432</v>
      </c>
      <c r="D13" s="778">
        <v>0</v>
      </c>
      <c r="E13" s="779">
        <v>40000</v>
      </c>
      <c r="F13" s="780">
        <f t="shared" si="0"/>
        <v>0</v>
      </c>
      <c r="G13" s="780">
        <v>0</v>
      </c>
      <c r="H13" s="781"/>
      <c r="I13" s="782"/>
      <c r="J13" s="783"/>
    </row>
    <row r="14" spans="1:1007" s="784" customFormat="1" x14ac:dyDescent="0.25">
      <c r="A14" s="775" t="s">
        <v>404</v>
      </c>
      <c r="B14" s="776" t="s">
        <v>419</v>
      </c>
      <c r="C14" s="777" t="s">
        <v>9</v>
      </c>
      <c r="D14" s="778">
        <f>'COUT PAR IP DES OUTILS'!E28</f>
        <v>207858</v>
      </c>
      <c r="E14" s="779">
        <v>104194</v>
      </c>
      <c r="F14" s="780">
        <f t="shared" si="0"/>
        <v>106011.7746104143</v>
      </c>
      <c r="G14" s="787">
        <f>'COUT PAR IP DES OUTILS'!E26</f>
        <v>101846.2253895857</v>
      </c>
      <c r="H14" s="781">
        <f t="shared" ref="H14" si="1">E14-F14-G14</f>
        <v>-103664</v>
      </c>
      <c r="I14" s="782"/>
      <c r="J14" s="783"/>
    </row>
    <row r="15" spans="1:1007" s="784" customFormat="1" x14ac:dyDescent="0.25">
      <c r="A15" s="775"/>
      <c r="B15" s="776" t="s">
        <v>434</v>
      </c>
      <c r="C15" s="777" t="s">
        <v>433</v>
      </c>
      <c r="D15" s="778">
        <v>42100</v>
      </c>
      <c r="E15" s="779">
        <v>0</v>
      </c>
      <c r="F15" s="780">
        <v>42100</v>
      </c>
      <c r="G15" s="787">
        <v>0</v>
      </c>
      <c r="H15" s="781"/>
      <c r="I15" s="782"/>
      <c r="J15" s="783">
        <v>42100</v>
      </c>
    </row>
    <row r="16" spans="1:1007" x14ac:dyDescent="0.25">
      <c r="B16" s="52"/>
      <c r="C16" s="160" t="s">
        <v>357</v>
      </c>
      <c r="D16" s="169">
        <f>SUM(D9:D15)</f>
        <v>983426</v>
      </c>
      <c r="E16" s="211">
        <f>SUM(E9:E15)</f>
        <v>650353.02256393537</v>
      </c>
      <c r="F16" s="169">
        <f>SUM(F9:F15)</f>
        <v>692753.50877102627</v>
      </c>
      <c r="G16" s="169">
        <f>SUM(G9:G15)</f>
        <v>290672.49122897367</v>
      </c>
      <c r="H16" s="169" t="e">
        <f>SUM(H9:H14)</f>
        <v>#REF!</v>
      </c>
      <c r="I16" s="169">
        <f>SUM(I9:I14)</f>
        <v>0</v>
      </c>
      <c r="J16" s="169">
        <f>SUM(J9:J15)</f>
        <v>127972.69116555309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</row>
    <row r="17" spans="1:1007" x14ac:dyDescent="0.25">
      <c r="B17" s="162"/>
      <c r="C17" s="163"/>
      <c r="D17" s="201"/>
      <c r="E17" s="212"/>
      <c r="F17" s="164"/>
      <c r="G17" s="180"/>
      <c r="H17" s="184"/>
      <c r="I17" s="178"/>
      <c r="J17" s="14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</row>
    <row r="18" spans="1:1007" s="10" customFormat="1" ht="45" x14ac:dyDescent="0.25">
      <c r="B18" s="168" t="s">
        <v>1</v>
      </c>
      <c r="C18" s="160" t="s">
        <v>358</v>
      </c>
      <c r="D18" s="143" t="s">
        <v>3</v>
      </c>
      <c r="E18" s="213" t="s">
        <v>3</v>
      </c>
      <c r="F18" s="143" t="s">
        <v>424</v>
      </c>
      <c r="G18" s="143" t="s">
        <v>425</v>
      </c>
      <c r="H18" s="182"/>
      <c r="I18" s="18"/>
      <c r="J18" s="143" t="s">
        <v>424</v>
      </c>
      <c r="K18" s="13"/>
      <c r="L18" s="14"/>
      <c r="N18" s="11"/>
      <c r="O18" s="15"/>
    </row>
    <row r="19" spans="1:1007" x14ac:dyDescent="0.25">
      <c r="A19" s="194" t="s">
        <v>406</v>
      </c>
      <c r="B19" s="159" t="s">
        <v>373</v>
      </c>
      <c r="C19" s="174" t="s">
        <v>359</v>
      </c>
      <c r="D19" s="202">
        <f>17033</f>
        <v>17033</v>
      </c>
      <c r="E19" s="214">
        <f>F19+G19</f>
        <v>17033</v>
      </c>
      <c r="F19" s="154">
        <f>D19</f>
        <v>17033</v>
      </c>
      <c r="G19" s="165">
        <v>0</v>
      </c>
      <c r="H19" s="183">
        <f t="shared" ref="H19:H20" si="2">E19-F19-G19</f>
        <v>0</v>
      </c>
      <c r="I19" s="190"/>
      <c r="J19" s="156">
        <f>F19</f>
        <v>17033</v>
      </c>
      <c r="K19" s="13"/>
      <c r="L19" s="14"/>
      <c r="M19" s="1"/>
      <c r="N19" s="11"/>
      <c r="O19" s="15"/>
      <c r="P19" s="1"/>
      <c r="Q19" s="1"/>
      <c r="ALR19"/>
      <c r="ALS19"/>
    </row>
    <row r="20" spans="1:1007" x14ac:dyDescent="0.25">
      <c r="A20" s="194" t="s">
        <v>404</v>
      </c>
      <c r="B20" s="144" t="s">
        <v>361</v>
      </c>
      <c r="C20" s="174" t="s">
        <v>360</v>
      </c>
      <c r="D20" s="202">
        <v>113100</v>
      </c>
      <c r="E20" s="214">
        <v>109800</v>
      </c>
      <c r="F20" s="154">
        <f>D20</f>
        <v>113100</v>
      </c>
      <c r="G20" s="166">
        <f>'COUT PAR IP DES OUTILS'!AC26</f>
        <v>0</v>
      </c>
      <c r="H20" s="183">
        <f t="shared" si="2"/>
        <v>-3300</v>
      </c>
      <c r="I20" s="191"/>
      <c r="J20" s="15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</row>
    <row r="21" spans="1:1007" x14ac:dyDescent="0.25">
      <c r="A21" s="194" t="s">
        <v>404</v>
      </c>
      <c r="B21" s="693" t="s">
        <v>419</v>
      </c>
      <c r="C21" s="174" t="s">
        <v>362</v>
      </c>
      <c r="D21" s="202">
        <f>'COUT PAR IP DES OUTILS'!M28</f>
        <v>140449.59635119728</v>
      </c>
      <c r="E21" s="214">
        <v>89823</v>
      </c>
      <c r="F21" s="154">
        <f>D21-G21</f>
        <v>91423.345039908789</v>
      </c>
      <c r="G21" s="166">
        <f>'COUT PAR IP DES OUTILS'!M26</f>
        <v>49026.251311288492</v>
      </c>
      <c r="H21" s="183">
        <f t="shared" ref="H21:H26" si="3">E21-F21-G21</f>
        <v>-50626.59635119728</v>
      </c>
      <c r="I21" s="192"/>
      <c r="J21" s="221"/>
      <c r="N21" s="9"/>
    </row>
    <row r="22" spans="1:1007" x14ac:dyDescent="0.25">
      <c r="A22" s="194" t="s">
        <v>404</v>
      </c>
      <c r="B22" s="693"/>
      <c r="C22" s="174" t="s">
        <v>363</v>
      </c>
      <c r="D22" s="202">
        <f>'COUT PAR IP DES OUTILS'!N28</f>
        <v>91054</v>
      </c>
      <c r="E22" s="214">
        <v>53696</v>
      </c>
      <c r="F22" s="154">
        <f>D22-G22</f>
        <v>54632.35043709616</v>
      </c>
      <c r="G22" s="166">
        <f>'COUT PAR IP DES OUTILS'!N26</f>
        <v>36421.64956290384</v>
      </c>
      <c r="H22" s="183">
        <f t="shared" si="3"/>
        <v>-37358</v>
      </c>
      <c r="I22" s="193"/>
      <c r="J22" s="156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</row>
    <row r="23" spans="1:1007" x14ac:dyDescent="0.25">
      <c r="A23" s="194" t="s">
        <v>404</v>
      </c>
      <c r="B23" s="172" t="s">
        <v>419</v>
      </c>
      <c r="C23" s="174" t="s">
        <v>366</v>
      </c>
      <c r="D23" s="202">
        <f>'COUT PAR IP DES OUTILS'!Q28</f>
        <v>43679</v>
      </c>
      <c r="E23" s="214">
        <v>25758</v>
      </c>
      <c r="F23" s="154">
        <f>D23-G23</f>
        <v>26207.308961379829</v>
      </c>
      <c r="G23" s="166">
        <f>'COUT PAR IP DES OUTILS'!Q26</f>
        <v>17471.691038620171</v>
      </c>
      <c r="H23" s="183">
        <f t="shared" si="3"/>
        <v>-17921</v>
      </c>
      <c r="I23" s="193"/>
      <c r="J23" s="156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</row>
    <row r="24" spans="1:1007" s="25" customFormat="1" x14ac:dyDescent="0.25">
      <c r="A24" s="194" t="s">
        <v>404</v>
      </c>
      <c r="B24" s="172" t="s">
        <v>419</v>
      </c>
      <c r="C24" s="174" t="s">
        <v>410</v>
      </c>
      <c r="D24" s="202">
        <f>'COUT PAR IP DES OUTILS'!P28</f>
        <v>56526</v>
      </c>
      <c r="E24" s="214">
        <v>33334</v>
      </c>
      <c r="F24" s="154">
        <f>D24-G24</f>
        <v>33915.57630296213</v>
      </c>
      <c r="G24" s="166">
        <f>'COUT PAR IP DES OUTILS'!P26</f>
        <v>22610.423697037866</v>
      </c>
      <c r="H24" s="183">
        <f t="shared" si="3"/>
        <v>-23191.999999999996</v>
      </c>
      <c r="I24" s="193"/>
      <c r="J24" s="156"/>
    </row>
    <row r="25" spans="1:1007" x14ac:dyDescent="0.25">
      <c r="A25" s="194" t="s">
        <v>404</v>
      </c>
      <c r="B25" s="61" t="s">
        <v>371</v>
      </c>
      <c r="C25" s="174" t="s">
        <v>370</v>
      </c>
      <c r="D25" s="202">
        <f>'COUT PAR IP DES OUTILS'!O27</f>
        <v>83313.481565944501</v>
      </c>
      <c r="E25" s="214">
        <v>49753</v>
      </c>
      <c r="F25" s="154">
        <f>D25-G25</f>
        <v>51181.881565944503</v>
      </c>
      <c r="G25" s="166">
        <f>'COUT PAR IP DES OUTILS'!O26</f>
        <v>32131.599999999999</v>
      </c>
      <c r="H25" s="183">
        <f t="shared" si="3"/>
        <v>-33560.481565944501</v>
      </c>
      <c r="I25" s="193"/>
      <c r="J25" s="156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</row>
    <row r="26" spans="1:1007" x14ac:dyDescent="0.25">
      <c r="A26" s="194" t="s">
        <v>406</v>
      </c>
      <c r="B26" s="19" t="s">
        <v>372</v>
      </c>
      <c r="C26" s="174" t="s">
        <v>364</v>
      </c>
      <c r="D26" s="202">
        <v>15000</v>
      </c>
      <c r="E26" s="214">
        <f t="shared" ref="E26" si="4">F26+G26</f>
        <v>15000</v>
      </c>
      <c r="F26" s="154">
        <f>'COUT PAR IP DES OUTILS'!AA27-'COUT PAR IP DES OUTILS'!AA26</f>
        <v>15000</v>
      </c>
      <c r="G26" s="166">
        <f>'COUT PAR IP DES OUTILS'!AA26</f>
        <v>0</v>
      </c>
      <c r="H26" s="183">
        <f t="shared" si="3"/>
        <v>0</v>
      </c>
      <c r="I26" s="190"/>
      <c r="J26" s="156">
        <f>F26</f>
        <v>15000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</row>
    <row r="27" spans="1:1007" x14ac:dyDescent="0.25">
      <c r="B27" s="159"/>
      <c r="C27" s="52" t="s">
        <v>365</v>
      </c>
      <c r="D27" s="161">
        <f>SUM(D19:D26)</f>
        <v>560155.07791714184</v>
      </c>
      <c r="E27" s="215">
        <f>E19+E20+E21+E22+E23+E24+E25+E26</f>
        <v>394197</v>
      </c>
      <c r="F27" s="161">
        <f>SUM(F19:F26)</f>
        <v>402493.4623072914</v>
      </c>
      <c r="G27" s="161">
        <f>SUM(G19:G26)</f>
        <v>157661.61560985036</v>
      </c>
      <c r="H27" s="183"/>
      <c r="I27"/>
      <c r="J27" s="169">
        <f>SUM(J19:J26)</f>
        <v>32033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</row>
    <row r="28" spans="1:1007" x14ac:dyDescent="0.25">
      <c r="B28" s="177"/>
      <c r="C28" s="21"/>
      <c r="D28" s="171"/>
      <c r="E28" s="216"/>
      <c r="F28" s="171"/>
      <c r="G28" s="171"/>
      <c r="H28" s="171"/>
      <c r="I28" s="18"/>
      <c r="J28" s="142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</row>
    <row r="29" spans="1:1007" ht="45" x14ac:dyDescent="0.25">
      <c r="B29" s="168" t="s">
        <v>408</v>
      </c>
      <c r="C29" s="160" t="s">
        <v>392</v>
      </c>
      <c r="D29" s="143" t="s">
        <v>3</v>
      </c>
      <c r="E29" s="213" t="s">
        <v>3</v>
      </c>
      <c r="F29" s="143" t="s">
        <v>424</v>
      </c>
      <c r="G29" s="143" t="s">
        <v>425</v>
      </c>
      <c r="H29" s="25"/>
      <c r="I29" s="18"/>
      <c r="J29" s="143" t="s">
        <v>424</v>
      </c>
      <c r="N29" s="9"/>
    </row>
    <row r="30" spans="1:1007" hidden="1" x14ac:dyDescent="0.25">
      <c r="B30" s="144"/>
      <c r="C30" s="170"/>
      <c r="D30" s="185"/>
      <c r="E30" s="210"/>
      <c r="F30" s="185"/>
      <c r="G30" s="185"/>
      <c r="H30" s="183">
        <f t="shared" ref="H30" si="5">E33-F33-G33</f>
        <v>-499031.05535320623</v>
      </c>
      <c r="I30" s="23"/>
      <c r="J30" s="142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</row>
    <row r="31" spans="1:1007" s="25" customFormat="1" x14ac:dyDescent="0.25">
      <c r="A31" s="194"/>
      <c r="B31" s="179"/>
      <c r="C31" s="52" t="s">
        <v>393</v>
      </c>
      <c r="D31" s="161"/>
      <c r="E31" s="215">
        <f>E30</f>
        <v>0</v>
      </c>
      <c r="F31" s="161">
        <f>F30</f>
        <v>0</v>
      </c>
      <c r="G31" s="161">
        <f>G30</f>
        <v>0</v>
      </c>
      <c r="H31" s="183"/>
      <c r="I31" s="23"/>
      <c r="J31" s="155">
        <f>F31</f>
        <v>0</v>
      </c>
    </row>
    <row r="32" spans="1:1007" s="25" customFormat="1" ht="60.75" thickBot="1" x14ac:dyDescent="0.3">
      <c r="A32" s="194"/>
      <c r="B32" s="172"/>
      <c r="C32" s="205" t="s">
        <v>421</v>
      </c>
      <c r="D32" s="200"/>
      <c r="E32" s="210"/>
      <c r="F32" s="154"/>
      <c r="G32" s="154"/>
      <c r="H32" s="183"/>
      <c r="I32" s="178"/>
      <c r="J32" s="156">
        <v>0</v>
      </c>
    </row>
    <row r="33" spans="1:14" ht="15.75" thickBot="1" x14ac:dyDescent="0.3">
      <c r="C33" s="17" t="s">
        <v>15</v>
      </c>
      <c r="D33" s="203">
        <f>D27+D16</f>
        <v>1543581.0779171418</v>
      </c>
      <c r="E33" s="217">
        <f>E16+E27</f>
        <v>1044550.0225639354</v>
      </c>
      <c r="F33" s="206">
        <f>F27+F16+F31</f>
        <v>1095246.9710783176</v>
      </c>
      <c r="G33" s="157">
        <f>G27+G16+G31</f>
        <v>448334.10683882399</v>
      </c>
      <c r="H33" s="18"/>
      <c r="I33" s="24"/>
      <c r="J33" s="169">
        <f>J27+J16+J32</f>
        <v>160005.69116555309</v>
      </c>
      <c r="N33" s="9"/>
    </row>
    <row r="34" spans="1:14" x14ac:dyDescent="0.25">
      <c r="B34" s="25"/>
      <c r="C34" s="186"/>
      <c r="D34" s="187"/>
      <c r="E34" s="218"/>
      <c r="F34" s="187"/>
      <c r="G34" s="187"/>
      <c r="H34" s="23"/>
    </row>
    <row r="35" spans="1:14" x14ac:dyDescent="0.25">
      <c r="C35" s="22" t="s">
        <v>16</v>
      </c>
      <c r="D35" s="204"/>
      <c r="E35" s="219"/>
      <c r="F35" s="23"/>
      <c r="G35" s="23"/>
    </row>
    <row r="36" spans="1:14" ht="26.25" customHeight="1" x14ac:dyDescent="0.25">
      <c r="C36" s="694" t="s">
        <v>17</v>
      </c>
      <c r="D36" s="694"/>
      <c r="E36" s="694"/>
      <c r="F36" s="694"/>
      <c r="G36" s="694"/>
    </row>
    <row r="38" spans="1:14" x14ac:dyDescent="0.25">
      <c r="A38" s="194" t="s">
        <v>404</v>
      </c>
      <c r="B38" s="25" t="s">
        <v>405</v>
      </c>
    </row>
    <row r="39" spans="1:14" x14ac:dyDescent="0.25">
      <c r="A39" s="194" t="s">
        <v>406</v>
      </c>
      <c r="B39" t="s">
        <v>407</v>
      </c>
    </row>
    <row r="41" spans="1:14" x14ac:dyDescent="0.25">
      <c r="B41" s="196" t="s">
        <v>411</v>
      </c>
    </row>
    <row r="42" spans="1:14" x14ac:dyDescent="0.25">
      <c r="A42" s="25" t="s">
        <v>412</v>
      </c>
      <c r="B42" s="195">
        <v>43637</v>
      </c>
      <c r="C42" s="695" t="s">
        <v>429</v>
      </c>
      <c r="D42" s="695"/>
      <c r="E42" s="695"/>
      <c r="F42" s="695"/>
      <c r="G42" s="695"/>
    </row>
    <row r="43" spans="1:14" ht="12.75" customHeight="1" x14ac:dyDescent="0.25">
      <c r="A43" s="25" t="s">
        <v>431</v>
      </c>
      <c r="B43" s="197">
        <v>43732</v>
      </c>
      <c r="C43" s="695" t="s">
        <v>435</v>
      </c>
      <c r="D43" s="695"/>
      <c r="E43" s="695"/>
      <c r="F43" s="695"/>
    </row>
    <row r="44" spans="1:14" x14ac:dyDescent="0.25">
      <c r="A44" s="25" t="s">
        <v>431</v>
      </c>
      <c r="B44" s="195">
        <v>43742</v>
      </c>
      <c r="C44" s="692" t="s">
        <v>454</v>
      </c>
      <c r="D44" s="692"/>
      <c r="E44" s="692"/>
      <c r="F44" s="692"/>
    </row>
  </sheetData>
  <mergeCells count="8">
    <mergeCell ref="E4:I4"/>
    <mergeCell ref="C44:F44"/>
    <mergeCell ref="B21:B22"/>
    <mergeCell ref="C36:G36"/>
    <mergeCell ref="C43:F43"/>
    <mergeCell ref="C42:G42"/>
    <mergeCell ref="C6:I6"/>
    <mergeCell ref="C7:G7"/>
  </mergeCells>
  <hyperlinks>
    <hyperlink ref="C9" location="'IRI FR VT'!A1" display="DISTRI VINS TRANQUILLES FRANCE Y COMPRIS PROXI"/>
    <hyperlink ref="C10" location="'IRI FR EFF'!A1" display="DISTRI VINS EFFERVESCENTS FRANCE Y COMPRIS PROXI"/>
    <hyperlink ref="C11" location="'PANEL CHR FRANCE'!A1" display="PANEL SUIVI DES ACHATS EN CHR"/>
    <hyperlink ref="C12" location="'DETAIL CALCUL ETUDES MUTUALISEE'!A1" display="CAVISTES RELEVE D'OFFRE"/>
    <hyperlink ref="C14" location="KANTAR!A1" display="CONSO VINS TRANQUILLES ET EFFERVESCENTS France"/>
    <hyperlink ref="C19" location="'DETAIL CALCUL ETUDES MUTUALISEE'!A1" display="MULTI PAYS GTI"/>
    <hyperlink ref="C20" location="'DETAIL CALCUL ETUDES MUTUALISEE'!A1" display="MULTI PAYS  : WINE INTELLIGENCE"/>
    <hyperlink ref="C21" location="'IRI UK'!A1" display="UK : PANEL SUIVI DES VENTES EN GD VT VE"/>
    <hyperlink ref="C22" location="'IRI ALL'!A1" display="ALL : PANEL SUIVI DES VENTES EN GD VT VE"/>
    <hyperlink ref="C23" location="GfK!A1" display="ALL : SUIVI CONSO VT VE"/>
    <hyperlink ref="C25" location="'IRI PB'!A1" display="PAYS-BAS : SUIVI VENTES EN GD VT"/>
    <hyperlink ref="C26" location="' DETAIL MONOPOLES'!A1" display="MONOPOLES : ACHAT DE DONNEES"/>
    <hyperlink ref="C24" location="GfK!A1" display="ALL : SUIVI CONSO VT VE"/>
  </hyperlinks>
  <pageMargins left="0.25" right="0.25" top="0.75" bottom="0.75" header="0.3" footer="0.3"/>
  <pageSetup paperSize="9" scale="61" firstPageNumber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O46"/>
  <sheetViews>
    <sheetView topLeftCell="A13" workbookViewId="0">
      <selection activeCell="F37" sqref="F37"/>
    </sheetView>
  </sheetViews>
  <sheetFormatPr baseColWidth="10" defaultColWidth="9.140625" defaultRowHeight="15" x14ac:dyDescent="0.25"/>
  <cols>
    <col min="1" max="1" width="30.140625" style="336" customWidth="1"/>
    <col min="2" max="2" width="10.42578125" style="336" customWidth="1"/>
    <col min="3" max="3" width="20" style="336" customWidth="1"/>
    <col min="4" max="4" width="16.5703125" style="336" customWidth="1"/>
    <col min="5" max="5" width="11.140625" style="336" customWidth="1"/>
    <col min="6" max="7" width="9.140625" style="336"/>
    <col min="8" max="8" width="10.140625" style="336" customWidth="1"/>
    <col min="9" max="16384" width="9.140625" style="336"/>
  </cols>
  <sheetData>
    <row r="1" spans="1:7" ht="15" customHeight="1" x14ac:dyDescent="0.25">
      <c r="A1" s="722" t="s">
        <v>53</v>
      </c>
      <c r="B1" s="760" t="s">
        <v>340</v>
      </c>
      <c r="C1" s="760"/>
      <c r="D1" s="760"/>
      <c r="E1" s="512"/>
      <c r="F1" s="512"/>
      <c r="G1" s="512"/>
    </row>
    <row r="2" spans="1:7" ht="15" customHeight="1" x14ac:dyDescent="0.25">
      <c r="A2" s="722"/>
      <c r="B2" s="761">
        <v>2020</v>
      </c>
      <c r="C2" s="761"/>
      <c r="D2" s="761"/>
    </row>
    <row r="3" spans="1:7" x14ac:dyDescent="0.25">
      <c r="A3" s="722"/>
      <c r="B3" s="573" t="s">
        <v>200</v>
      </c>
      <c r="C3" s="574" t="s">
        <v>201</v>
      </c>
      <c r="D3" s="575" t="s">
        <v>202</v>
      </c>
    </row>
    <row r="4" spans="1:7" x14ac:dyDescent="0.25">
      <c r="A4" s="346" t="s">
        <v>18</v>
      </c>
      <c r="B4" s="555">
        <f t="shared" ref="B4:B25" si="0">C4+D4</f>
        <v>2864.6470835919563</v>
      </c>
      <c r="C4" s="556">
        <f>'ANNEXE 1 Grille'!$B2*($C$30-$C$25)</f>
        <v>2292.8146511037603</v>
      </c>
      <c r="D4" s="557">
        <f>IF(C4&lt;&gt;0,E$26/C$29,C4)</f>
        <v>571.83243248819576</v>
      </c>
      <c r="E4" s="341"/>
    </row>
    <row r="5" spans="1:7" x14ac:dyDescent="0.25">
      <c r="A5" s="346" t="s">
        <v>19</v>
      </c>
      <c r="B5" s="555">
        <f t="shared" si="0"/>
        <v>0</v>
      </c>
      <c r="C5" s="556"/>
      <c r="D5" s="557">
        <f t="shared" ref="D5:D23" si="1">IF(C5&lt;&gt;0,E$26/C$29,C5)</f>
        <v>0</v>
      </c>
      <c r="E5" s="341"/>
    </row>
    <row r="6" spans="1:7" x14ac:dyDescent="0.25">
      <c r="A6" s="346" t="s">
        <v>20</v>
      </c>
      <c r="B6" s="555">
        <f t="shared" si="0"/>
        <v>1302.9494085976139</v>
      </c>
      <c r="C6" s="556">
        <f>'ANNEXE 1 Grille'!$B4*($C$30-$C$25)</f>
        <v>731.11697610941803</v>
      </c>
      <c r="D6" s="557">
        <f t="shared" si="1"/>
        <v>571.83243248819576</v>
      </c>
      <c r="E6" s="341"/>
    </row>
    <row r="7" spans="1:7" x14ac:dyDescent="0.25">
      <c r="A7" s="346" t="s">
        <v>21</v>
      </c>
      <c r="B7" s="555">
        <f t="shared" si="0"/>
        <v>8769.820126098979</v>
      </c>
      <c r="C7" s="556">
        <f>'ANNEXE 1 Grille'!$B5*($C$30-$C$25)</f>
        <v>8197.987693610783</v>
      </c>
      <c r="D7" s="557">
        <f t="shared" si="1"/>
        <v>571.83243248819576</v>
      </c>
      <c r="E7" s="341"/>
    </row>
    <row r="8" spans="1:7" x14ac:dyDescent="0.25">
      <c r="A8" s="346" t="s">
        <v>22</v>
      </c>
      <c r="B8" s="555">
        <f t="shared" si="0"/>
        <v>4542.1546726195311</v>
      </c>
      <c r="C8" s="556">
        <f>'ANNEXE 1 Grille'!$B6*($C$30-$C$25)</f>
        <v>3970.3222401313355</v>
      </c>
      <c r="D8" s="557">
        <f t="shared" si="1"/>
        <v>571.83243248819576</v>
      </c>
      <c r="E8" s="341"/>
    </row>
    <row r="9" spans="1:7" x14ac:dyDescent="0.25">
      <c r="A9" s="346" t="s">
        <v>23</v>
      </c>
      <c r="B9" s="555">
        <f t="shared" si="0"/>
        <v>798.49073968149389</v>
      </c>
      <c r="C9" s="556">
        <f>'ANNEXE 1 Grille'!$B7*($C$30-$C$25)</f>
        <v>226.65830719329816</v>
      </c>
      <c r="D9" s="557">
        <f t="shared" si="1"/>
        <v>571.83243248819576</v>
      </c>
      <c r="E9" s="341"/>
    </row>
    <row r="10" spans="1:7" x14ac:dyDescent="0.25">
      <c r="A10" s="346" t="s">
        <v>24</v>
      </c>
      <c r="B10" s="555">
        <f t="shared" si="0"/>
        <v>0</v>
      </c>
      <c r="C10" s="556"/>
      <c r="D10" s="557">
        <f t="shared" si="1"/>
        <v>0</v>
      </c>
      <c r="E10" s="341"/>
    </row>
    <row r="11" spans="1:7" x14ac:dyDescent="0.25">
      <c r="A11" s="346" t="s">
        <v>25</v>
      </c>
      <c r="B11" s="555">
        <f t="shared" si="0"/>
        <v>0</v>
      </c>
      <c r="C11" s="556"/>
      <c r="D11" s="557">
        <f t="shared" si="1"/>
        <v>0</v>
      </c>
      <c r="E11" s="341"/>
    </row>
    <row r="12" spans="1:7" x14ac:dyDescent="0.25">
      <c r="A12" s="346" t="s">
        <v>26</v>
      </c>
      <c r="B12" s="555">
        <f t="shared" si="0"/>
        <v>8318.9113115940399</v>
      </c>
      <c r="C12" s="556">
        <f>'ANNEXE 1 Grille'!$B10*($C$30-$C$25)</f>
        <v>7747.0788791058449</v>
      </c>
      <c r="D12" s="557">
        <f t="shared" si="1"/>
        <v>571.83243248819576</v>
      </c>
      <c r="E12" s="341"/>
    </row>
    <row r="13" spans="1:7" x14ac:dyDescent="0.25">
      <c r="A13" s="346" t="s">
        <v>27</v>
      </c>
      <c r="B13" s="555">
        <f t="shared" si="0"/>
        <v>4582.4350499224392</v>
      </c>
      <c r="C13" s="556">
        <f>'ANNEXE 1 Grille'!$B11*($C$30-$C$25)</f>
        <v>4010.6026174342437</v>
      </c>
      <c r="D13" s="557">
        <f t="shared" si="1"/>
        <v>571.83243248819576</v>
      </c>
      <c r="E13" s="341"/>
    </row>
    <row r="14" spans="1:7" x14ac:dyDescent="0.25">
      <c r="A14" s="346" t="s">
        <v>28</v>
      </c>
      <c r="B14" s="555">
        <f t="shared" si="0"/>
        <v>4115.0384883677334</v>
      </c>
      <c r="C14" s="556">
        <f>'ANNEXE 1 Grille'!$B12*($C$30-$C$25)</f>
        <v>3543.2060558795379</v>
      </c>
      <c r="D14" s="557">
        <f t="shared" si="1"/>
        <v>571.83243248819576</v>
      </c>
      <c r="E14" s="341"/>
    </row>
    <row r="15" spans="1:7" x14ac:dyDescent="0.25">
      <c r="A15" s="346" t="s">
        <v>29</v>
      </c>
      <c r="B15" s="555">
        <f t="shared" si="0"/>
        <v>0</v>
      </c>
      <c r="C15" s="556"/>
      <c r="D15" s="557">
        <f t="shared" si="1"/>
        <v>0</v>
      </c>
      <c r="E15" s="341"/>
    </row>
    <row r="16" spans="1:7" x14ac:dyDescent="0.25">
      <c r="A16" s="346" t="s">
        <v>30</v>
      </c>
      <c r="B16" s="555">
        <f t="shared" si="0"/>
        <v>2638.9460974309841</v>
      </c>
      <c r="C16" s="556">
        <f>'ANNEXE 1 Grille'!$B14*($C$30-$C$25)</f>
        <v>2067.1136649427881</v>
      </c>
      <c r="D16" s="557">
        <f t="shared" si="1"/>
        <v>571.83243248819576</v>
      </c>
      <c r="E16" s="341"/>
    </row>
    <row r="17" spans="1:8" x14ac:dyDescent="0.25">
      <c r="A17" s="346" t="s">
        <v>31</v>
      </c>
      <c r="B17" s="555">
        <f t="shared" si="0"/>
        <v>4991.4932540497739</v>
      </c>
      <c r="C17" s="556">
        <f>'ANNEXE 1 Grille'!$B15*($C$30-$C$25)</f>
        <v>4419.6608215615779</v>
      </c>
      <c r="D17" s="557">
        <f t="shared" si="1"/>
        <v>571.83243248819576</v>
      </c>
      <c r="E17" s="341"/>
    </row>
    <row r="18" spans="1:8" x14ac:dyDescent="0.25">
      <c r="A18" s="346" t="s">
        <v>32</v>
      </c>
      <c r="B18" s="555">
        <f t="shared" si="0"/>
        <v>1500.652635765658</v>
      </c>
      <c r="C18" s="556">
        <f>'ANNEXE 1 Grille'!$B16*($C$30-$C$25)</f>
        <v>928.82020327746216</v>
      </c>
      <c r="D18" s="557">
        <f t="shared" si="1"/>
        <v>571.83243248819576</v>
      </c>
      <c r="E18" s="341"/>
    </row>
    <row r="19" spans="1:8" x14ac:dyDescent="0.25">
      <c r="A19" s="346" t="s">
        <v>33</v>
      </c>
      <c r="B19" s="555">
        <f t="shared" si="0"/>
        <v>2251.5392175827965</v>
      </c>
      <c r="C19" s="556">
        <f>'ANNEXE 1 Grille'!$B17*($C$30-$C$25)</f>
        <v>1679.7067850946007</v>
      </c>
      <c r="D19" s="557">
        <f t="shared" si="1"/>
        <v>571.83243248819576</v>
      </c>
      <c r="E19" s="341"/>
    </row>
    <row r="20" spans="1:8" x14ac:dyDescent="0.25">
      <c r="A20" s="346" t="s">
        <v>34</v>
      </c>
      <c r="B20" s="555">
        <f t="shared" si="0"/>
        <v>1599.9692489765168</v>
      </c>
      <c r="C20" s="556">
        <f>'ANNEXE 1 Grille'!$B18*($C$30-$C$25)</f>
        <v>1028.1368164883211</v>
      </c>
      <c r="D20" s="557">
        <f t="shared" si="1"/>
        <v>571.83243248819576</v>
      </c>
      <c r="E20" s="341"/>
    </row>
    <row r="21" spans="1:8" x14ac:dyDescent="0.25">
      <c r="A21" s="346" t="s">
        <v>35</v>
      </c>
      <c r="B21" s="555">
        <f t="shared" si="0"/>
        <v>0</v>
      </c>
      <c r="C21" s="556"/>
      <c r="D21" s="557">
        <f t="shared" si="1"/>
        <v>0</v>
      </c>
      <c r="E21" s="341"/>
    </row>
    <row r="22" spans="1:8" x14ac:dyDescent="0.25">
      <c r="A22" s="346" t="s">
        <v>36</v>
      </c>
      <c r="B22" s="555">
        <f t="shared" si="0"/>
        <v>6355.4270100762305</v>
      </c>
      <c r="C22" s="556">
        <f>'ANNEXE 1 Grille'!$B20*($C$30-$C$25)</f>
        <v>5783.5945775880346</v>
      </c>
      <c r="D22" s="557">
        <f t="shared" si="1"/>
        <v>571.83243248819576</v>
      </c>
      <c r="E22" s="341"/>
    </row>
    <row r="23" spans="1:8" x14ac:dyDescent="0.25">
      <c r="A23" s="346" t="s">
        <v>37</v>
      </c>
      <c r="B23" s="555">
        <f t="shared" si="0"/>
        <v>0</v>
      </c>
      <c r="C23" s="556"/>
      <c r="D23" s="557">
        <f t="shared" si="1"/>
        <v>0</v>
      </c>
      <c r="E23" s="341"/>
    </row>
    <row r="24" spans="1:8" ht="12.75" customHeight="1" x14ac:dyDescent="0.25">
      <c r="A24" s="346" t="s">
        <v>39</v>
      </c>
      <c r="B24" s="555">
        <f t="shared" si="0"/>
        <v>0</v>
      </c>
      <c r="C24" s="556">
        <v>0</v>
      </c>
      <c r="D24" s="557"/>
      <c r="E24" s="341"/>
    </row>
    <row r="25" spans="1:8" x14ac:dyDescent="0.25">
      <c r="A25" s="346" t="s">
        <v>5</v>
      </c>
      <c r="B25" s="576">
        <f t="shared" si="0"/>
        <v>36421.64956290384</v>
      </c>
      <c r="C25" s="556">
        <f>C30*40/100</f>
        <v>36421.64956290384</v>
      </c>
      <c r="D25" s="557"/>
      <c r="E25" s="341"/>
    </row>
    <row r="26" spans="1:8" x14ac:dyDescent="0.25">
      <c r="A26" s="366" t="s">
        <v>50</v>
      </c>
      <c r="B26" s="558">
        <f>SUM(B4:B25)</f>
        <v>91054.123907259578</v>
      </c>
      <c r="C26" s="577">
        <f>SUM(C4:C25)</f>
        <v>83048.469852424852</v>
      </c>
      <c r="D26" s="559">
        <f>SUM(D4:D25)</f>
        <v>8005.654054834743</v>
      </c>
      <c r="E26" s="465">
        <f>C30*60/100-SUM(C4:C24)</f>
        <v>8005.6540548347402</v>
      </c>
    </row>
    <row r="27" spans="1:8" ht="8.25" hidden="1" customHeight="1" x14ac:dyDescent="0.25">
      <c r="A27" s="377"/>
      <c r="B27" s="385" t="s">
        <v>51</v>
      </c>
      <c r="C27" s="377"/>
      <c r="D27" s="578"/>
      <c r="E27" s="578"/>
      <c r="F27" s="578"/>
      <c r="G27" s="578">
        <f>H27-SUM(C4:C24)</f>
        <v>5813.1797104789875</v>
      </c>
      <c r="H27" s="579">
        <f>104880/1.2*60/100</f>
        <v>52440</v>
      </c>
    </row>
    <row r="28" spans="1:8" x14ac:dyDescent="0.25">
      <c r="B28" s="547" t="s">
        <v>40</v>
      </c>
      <c r="C28" s="375"/>
    </row>
    <row r="29" spans="1:8" ht="15" customHeight="1" x14ac:dyDescent="0.25">
      <c r="A29" s="762" t="s">
        <v>255</v>
      </c>
      <c r="B29" s="762"/>
      <c r="C29" s="580">
        <f>SUBTOTAL(3,C4:C23)</f>
        <v>14</v>
      </c>
      <c r="D29" s="375"/>
    </row>
    <row r="30" spans="1:8" ht="15" customHeight="1" x14ac:dyDescent="0.25">
      <c r="A30" s="749" t="s">
        <v>447</v>
      </c>
      <c r="B30" s="749"/>
      <c r="C30" s="581">
        <f>C32*C34</f>
        <v>91054.123907259593</v>
      </c>
      <c r="D30" s="375"/>
    </row>
    <row r="31" spans="1:8" ht="15" customHeight="1" x14ac:dyDescent="0.25">
      <c r="A31" s="749" t="s">
        <v>439</v>
      </c>
      <c r="B31" s="749"/>
      <c r="C31" s="581">
        <f>C30*1.2</f>
        <v>109264.94868871151</v>
      </c>
    </row>
    <row r="32" spans="1:8" ht="15" customHeight="1" x14ac:dyDescent="0.25">
      <c r="A32" s="749" t="s">
        <v>211</v>
      </c>
      <c r="B32" s="749"/>
      <c r="C32" s="581">
        <v>87400</v>
      </c>
      <c r="E32" s="465"/>
    </row>
    <row r="33" spans="1:15" ht="15" customHeight="1" x14ac:dyDescent="0.25">
      <c r="A33" s="749" t="s">
        <v>212</v>
      </c>
      <c r="B33" s="749"/>
      <c r="C33" s="581">
        <f>C32*1.2</f>
        <v>104880</v>
      </c>
    </row>
    <row r="34" spans="1:15" ht="15" customHeight="1" x14ac:dyDescent="0.25">
      <c r="A34" s="749" t="s">
        <v>401</v>
      </c>
      <c r="B34" s="749"/>
      <c r="C34" s="543">
        <f>2741/2631</f>
        <v>1.0418091980235651</v>
      </c>
    </row>
    <row r="36" spans="1:15" x14ac:dyDescent="0.25">
      <c r="A36" s="727" t="s">
        <v>257</v>
      </c>
      <c r="B36" s="727"/>
      <c r="C36" s="727"/>
    </row>
    <row r="37" spans="1:15" x14ac:dyDescent="0.25">
      <c r="A37" s="482"/>
      <c r="B37" s="483"/>
      <c r="C37" s="486"/>
    </row>
    <row r="38" spans="1:15" x14ac:dyDescent="0.25">
      <c r="A38" s="426"/>
      <c r="B38" s="426"/>
      <c r="C38" s="390"/>
    </row>
    <row r="39" spans="1:15" x14ac:dyDescent="0.25">
      <c r="A39" s="727" t="s">
        <v>213</v>
      </c>
      <c r="B39" s="727"/>
      <c r="C39" s="727"/>
    </row>
    <row r="40" spans="1:15" x14ac:dyDescent="0.25">
      <c r="A40" s="482" t="s">
        <v>258</v>
      </c>
      <c r="B40" s="483"/>
      <c r="C40" s="486" t="s">
        <v>383</v>
      </c>
    </row>
    <row r="41" spans="1:15" x14ac:dyDescent="0.25">
      <c r="A41" s="482" t="s">
        <v>259</v>
      </c>
      <c r="B41" s="483"/>
      <c r="C41" s="486" t="s">
        <v>383</v>
      </c>
    </row>
    <row r="43" spans="1:15" x14ac:dyDescent="0.25">
      <c r="A43" s="406"/>
      <c r="B43" s="407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O43" s="375"/>
    </row>
    <row r="44" spans="1:15" x14ac:dyDescent="0.25">
      <c r="A44" s="406"/>
      <c r="B44" s="407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</row>
    <row r="45" spans="1:15" x14ac:dyDescent="0.25">
      <c r="A45" s="411" t="s">
        <v>271</v>
      </c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</row>
    <row r="46" spans="1:15" x14ac:dyDescent="0.25">
      <c r="A46" s="336" t="s">
        <v>384</v>
      </c>
    </row>
  </sheetData>
  <mergeCells count="11">
    <mergeCell ref="A39:C39"/>
    <mergeCell ref="A29:B29"/>
    <mergeCell ref="A30:B30"/>
    <mergeCell ref="A31:B31"/>
    <mergeCell ref="A32:B32"/>
    <mergeCell ref="A33:B33"/>
    <mergeCell ref="A1:A3"/>
    <mergeCell ref="B1:D1"/>
    <mergeCell ref="B2:D2"/>
    <mergeCell ref="A34:B34"/>
    <mergeCell ref="A36:C3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O77"/>
  <sheetViews>
    <sheetView topLeftCell="A16" workbookViewId="0">
      <selection activeCell="F36" sqref="F36"/>
    </sheetView>
  </sheetViews>
  <sheetFormatPr baseColWidth="10" defaultColWidth="9.140625" defaultRowHeight="15" x14ac:dyDescent="0.25"/>
  <cols>
    <col min="1" max="2" width="9.140625" style="207"/>
    <col min="3" max="3" width="15.42578125" style="207" customWidth="1"/>
    <col min="4" max="4" width="13.85546875" style="207" customWidth="1"/>
    <col min="5" max="7" width="10.85546875" style="207" bestFit="1" customWidth="1"/>
    <col min="8" max="8" width="11.85546875" style="207" bestFit="1" customWidth="1"/>
    <col min="9" max="9" width="10.85546875" style="207" bestFit="1" customWidth="1"/>
    <col min="10" max="10" width="10.140625" style="207" bestFit="1" customWidth="1"/>
    <col min="11" max="11" width="18.5703125" style="207" bestFit="1" customWidth="1"/>
    <col min="12" max="12" width="12.5703125" style="207" bestFit="1" customWidth="1"/>
    <col min="13" max="13" width="6.28515625" style="207" bestFit="1" customWidth="1"/>
    <col min="14" max="14" width="7.85546875" style="207" bestFit="1" customWidth="1"/>
    <col min="15" max="15" width="11.85546875" style="207" bestFit="1" customWidth="1"/>
    <col min="16" max="16384" width="9.140625" style="207"/>
  </cols>
  <sheetData>
    <row r="1" spans="1:10" s="336" customFormat="1" ht="15" customHeight="1" x14ac:dyDescent="0.25">
      <c r="A1" s="722" t="s">
        <v>53</v>
      </c>
      <c r="B1" s="723" t="s">
        <v>341</v>
      </c>
      <c r="C1" s="723"/>
      <c r="D1" s="723"/>
      <c r="E1" s="602"/>
      <c r="F1" s="722" t="s">
        <v>53</v>
      </c>
      <c r="G1" s="763" t="s">
        <v>342</v>
      </c>
      <c r="H1" s="763"/>
      <c r="I1" s="763"/>
    </row>
    <row r="2" spans="1:10" s="336" customFormat="1" ht="15" customHeight="1" x14ac:dyDescent="0.25">
      <c r="A2" s="722"/>
      <c r="B2" s="740" t="s">
        <v>444</v>
      </c>
      <c r="C2" s="740"/>
      <c r="D2" s="740"/>
      <c r="E2" s="603"/>
      <c r="F2" s="722"/>
      <c r="G2" s="761">
        <v>2020</v>
      </c>
      <c r="H2" s="761"/>
      <c r="I2" s="761"/>
    </row>
    <row r="3" spans="1:10" s="336" customFormat="1" ht="60" x14ac:dyDescent="0.25">
      <c r="A3" s="722"/>
      <c r="B3" s="460" t="s">
        <v>159</v>
      </c>
      <c r="C3" s="461" t="s">
        <v>206</v>
      </c>
      <c r="D3" s="461" t="s">
        <v>207</v>
      </c>
      <c r="E3" s="603"/>
      <c r="F3" s="722"/>
      <c r="G3" s="573" t="s">
        <v>200</v>
      </c>
      <c r="H3" s="574" t="s">
        <v>201</v>
      </c>
      <c r="I3" s="575" t="s">
        <v>202</v>
      </c>
    </row>
    <row r="4" spans="1:10" s="336" customFormat="1" x14ac:dyDescent="0.25">
      <c r="A4" s="346" t="s">
        <v>18</v>
      </c>
      <c r="B4" s="351">
        <f t="shared" ref="B4:B26" si="0">C4+D4</f>
        <v>3181.6332062745378</v>
      </c>
      <c r="C4" s="348">
        <f t="shared" ref="C4:C25" si="1">G4</f>
        <v>3181.6332062745378</v>
      </c>
      <c r="D4" s="349">
        <f>I45</f>
        <v>0</v>
      </c>
      <c r="E4" s="604"/>
      <c r="F4" s="346" t="s">
        <v>18</v>
      </c>
      <c r="G4" s="555">
        <f t="shared" ref="G4:G24" si="2">H4+I4</f>
        <v>3181.6332062745378</v>
      </c>
      <c r="H4" s="556">
        <f>'ANNEXE 1 Grille'!$B2*($I$26-$H$25-$H$24)</f>
        <v>2081.5418428878365</v>
      </c>
      <c r="I4" s="557">
        <f>IF(H4&lt;&gt;0,H$27/F$30,H4)</f>
        <v>1100.091363386701</v>
      </c>
      <c r="J4" s="337"/>
    </row>
    <row r="5" spans="1:10" s="336" customFormat="1" x14ac:dyDescent="0.25">
      <c r="A5" s="346" t="s">
        <v>19</v>
      </c>
      <c r="B5" s="351">
        <f t="shared" si="0"/>
        <v>0</v>
      </c>
      <c r="C5" s="348">
        <f t="shared" si="1"/>
        <v>0</v>
      </c>
      <c r="D5" s="349">
        <v>0</v>
      </c>
      <c r="E5" s="346"/>
      <c r="F5" s="346" t="s">
        <v>19</v>
      </c>
      <c r="G5" s="555">
        <f t="shared" si="2"/>
        <v>0</v>
      </c>
      <c r="H5" s="556"/>
      <c r="I5" s="557">
        <f t="shared" ref="I5:I23" si="3">IF(H5&lt;&gt;0,H$27/F$30,H5)</f>
        <v>0</v>
      </c>
      <c r="J5" s="337"/>
    </row>
    <row r="6" spans="1:10" s="336" customFormat="1" x14ac:dyDescent="0.25">
      <c r="A6" s="346" t="s">
        <v>20</v>
      </c>
      <c r="B6" s="351">
        <f t="shared" si="0"/>
        <v>1763.8391186118179</v>
      </c>
      <c r="C6" s="348">
        <f t="shared" si="1"/>
        <v>1763.8391186118179</v>
      </c>
      <c r="D6" s="349">
        <f>N42</f>
        <v>0</v>
      </c>
      <c r="E6" s="346"/>
      <c r="F6" s="346" t="s">
        <v>20</v>
      </c>
      <c r="G6" s="555">
        <f t="shared" si="2"/>
        <v>1763.8391186118179</v>
      </c>
      <c r="H6" s="556">
        <f>'ANNEXE 1 Grille'!$B4*($I$26-$H$25-$H$24)</f>
        <v>663.74775522511675</v>
      </c>
      <c r="I6" s="557">
        <f t="shared" si="3"/>
        <v>1100.091363386701</v>
      </c>
      <c r="J6" s="337"/>
    </row>
    <row r="7" spans="1:10" s="336" customFormat="1" x14ac:dyDescent="0.25">
      <c r="A7" s="346" t="s">
        <v>21</v>
      </c>
      <c r="B7" s="351">
        <f t="shared" si="0"/>
        <v>8542.670467421809</v>
      </c>
      <c r="C7" s="348">
        <f t="shared" si="1"/>
        <v>8542.670467421809</v>
      </c>
      <c r="D7" s="349">
        <f>E42</f>
        <v>0</v>
      </c>
      <c r="E7" s="346"/>
      <c r="F7" s="346" t="s">
        <v>21</v>
      </c>
      <c r="G7" s="555">
        <f t="shared" si="2"/>
        <v>8542.670467421809</v>
      </c>
      <c r="H7" s="556">
        <f>'ANNEXE 1 Grille'!$B5*($I$26-$H$25-$H$24)</f>
        <v>7442.5791040351078</v>
      </c>
      <c r="I7" s="557">
        <f t="shared" si="3"/>
        <v>1100.091363386701</v>
      </c>
      <c r="J7" s="337"/>
    </row>
    <row r="8" spans="1:10" s="336" customFormat="1" x14ac:dyDescent="0.25">
      <c r="A8" s="346" t="s">
        <v>22</v>
      </c>
      <c r="B8" s="351">
        <f t="shared" si="0"/>
        <v>4704.5658326173771</v>
      </c>
      <c r="C8" s="348">
        <f t="shared" si="1"/>
        <v>4704.5658326173771</v>
      </c>
      <c r="D8" s="349">
        <f>G42</f>
        <v>0</v>
      </c>
      <c r="E8" s="346"/>
      <c r="F8" s="346" t="s">
        <v>22</v>
      </c>
      <c r="G8" s="555">
        <f t="shared" si="2"/>
        <v>4704.5658326173771</v>
      </c>
      <c r="H8" s="556">
        <f>'ANNEXE 1 Grille'!$B6*($I$26-$H$25-$H$24)</f>
        <v>3604.4744692306758</v>
      </c>
      <c r="I8" s="557">
        <f t="shared" si="3"/>
        <v>1100.091363386701</v>
      </c>
      <c r="J8" s="337"/>
    </row>
    <row r="9" spans="1:10" s="336" customFormat="1" x14ac:dyDescent="0.25">
      <c r="A9" s="346" t="s">
        <v>23</v>
      </c>
      <c r="B9" s="351">
        <f t="shared" si="0"/>
        <v>1305.86410224889</v>
      </c>
      <c r="C9" s="348">
        <f t="shared" si="1"/>
        <v>1305.86410224889</v>
      </c>
      <c r="D9" s="349">
        <f>0</f>
        <v>0</v>
      </c>
      <c r="E9" s="346"/>
      <c r="F9" s="346" t="s">
        <v>23</v>
      </c>
      <c r="G9" s="555">
        <f t="shared" si="2"/>
        <v>1305.86410224889</v>
      </c>
      <c r="H9" s="556">
        <f>'ANNEXE 1 Grille'!$B7*($I$26-$H$25-$H$24)</f>
        <v>205.77273886218904</v>
      </c>
      <c r="I9" s="557">
        <f t="shared" si="3"/>
        <v>1100.091363386701</v>
      </c>
      <c r="J9" s="337"/>
    </row>
    <row r="10" spans="1:10" s="336" customFormat="1" x14ac:dyDescent="0.25">
      <c r="A10" s="346" t="s">
        <v>24</v>
      </c>
      <c r="B10" s="351">
        <f t="shared" si="0"/>
        <v>0</v>
      </c>
      <c r="C10" s="348">
        <f t="shared" si="1"/>
        <v>0</v>
      </c>
      <c r="D10" s="349">
        <v>0</v>
      </c>
      <c r="E10" s="346"/>
      <c r="F10" s="346" t="s">
        <v>24</v>
      </c>
      <c r="G10" s="555">
        <f t="shared" si="2"/>
        <v>0</v>
      </c>
      <c r="H10" s="556"/>
      <c r="I10" s="557">
        <f t="shared" si="3"/>
        <v>0</v>
      </c>
      <c r="J10" s="337"/>
    </row>
    <row r="11" spans="1:10" s="336" customFormat="1" x14ac:dyDescent="0.25">
      <c r="A11" s="346" t="s">
        <v>25</v>
      </c>
      <c r="B11" s="351">
        <f t="shared" si="0"/>
        <v>0</v>
      </c>
      <c r="C11" s="348">
        <f t="shared" si="1"/>
        <v>0</v>
      </c>
      <c r="D11" s="349">
        <v>0</v>
      </c>
      <c r="E11" s="346"/>
      <c r="F11" s="346" t="s">
        <v>25</v>
      </c>
      <c r="G11" s="555">
        <f t="shared" si="2"/>
        <v>0</v>
      </c>
      <c r="H11" s="556"/>
      <c r="I11" s="557">
        <f t="shared" si="3"/>
        <v>0</v>
      </c>
      <c r="J11" s="337"/>
    </row>
    <row r="12" spans="1:10" s="336" customFormat="1" x14ac:dyDescent="0.25">
      <c r="A12" s="346" t="s">
        <v>26</v>
      </c>
      <c r="B12" s="351">
        <f t="shared" si="0"/>
        <v>0</v>
      </c>
      <c r="C12" s="348">
        <f t="shared" si="1"/>
        <v>0</v>
      </c>
      <c r="D12" s="349">
        <f>0</f>
        <v>0</v>
      </c>
      <c r="E12" s="346"/>
      <c r="F12" s="346" t="s">
        <v>26</v>
      </c>
      <c r="G12" s="555">
        <f t="shared" si="2"/>
        <v>0</v>
      </c>
      <c r="H12" s="556"/>
      <c r="I12" s="557">
        <f t="shared" si="3"/>
        <v>0</v>
      </c>
      <c r="J12" s="337"/>
    </row>
    <row r="13" spans="1:10" s="336" customFormat="1" x14ac:dyDescent="0.25">
      <c r="A13" s="346" t="s">
        <v>27</v>
      </c>
      <c r="B13" s="351">
        <f t="shared" si="0"/>
        <v>4741.1345499199069</v>
      </c>
      <c r="C13" s="348">
        <f t="shared" si="1"/>
        <v>4741.1345499199069</v>
      </c>
      <c r="D13" s="349">
        <f>F42</f>
        <v>0</v>
      </c>
      <c r="E13" s="346"/>
      <c r="F13" s="346" t="s">
        <v>27</v>
      </c>
      <c r="G13" s="555">
        <f t="shared" si="2"/>
        <v>4741.1345499199069</v>
      </c>
      <c r="H13" s="556">
        <f>'ANNEXE 1 Grille'!$B11*($I$26-$H$25-$H$24)</f>
        <v>3641.0431865332057</v>
      </c>
      <c r="I13" s="557">
        <f t="shared" si="3"/>
        <v>1100.091363386701</v>
      </c>
      <c r="J13" s="337"/>
    </row>
    <row r="14" spans="1:10" s="336" customFormat="1" x14ac:dyDescent="0.25">
      <c r="A14" s="346" t="s">
        <v>28</v>
      </c>
      <c r="B14" s="351">
        <f t="shared" si="0"/>
        <v>4316.8065303699341</v>
      </c>
      <c r="C14" s="348">
        <f t="shared" si="1"/>
        <v>4316.8065303699341</v>
      </c>
      <c r="D14" s="349">
        <f>J45</f>
        <v>0</v>
      </c>
      <c r="E14" s="604"/>
      <c r="F14" s="346" t="s">
        <v>28</v>
      </c>
      <c r="G14" s="555">
        <f t="shared" si="2"/>
        <v>4316.8065303699341</v>
      </c>
      <c r="H14" s="556">
        <f>'ANNEXE 1 Grille'!$B12*($I$26-$H$25-$H$24)</f>
        <v>3216.7151669832328</v>
      </c>
      <c r="I14" s="557">
        <f t="shared" si="3"/>
        <v>1100.091363386701</v>
      </c>
      <c r="J14" s="337"/>
    </row>
    <row r="15" spans="1:10" s="336" customFormat="1" x14ac:dyDescent="0.25">
      <c r="A15" s="346" t="s">
        <v>29</v>
      </c>
      <c r="B15" s="351">
        <f t="shared" si="0"/>
        <v>0</v>
      </c>
      <c r="C15" s="348">
        <f t="shared" si="1"/>
        <v>0</v>
      </c>
      <c r="D15" s="349">
        <f>0</f>
        <v>0</v>
      </c>
      <c r="E15" s="346"/>
      <c r="F15" s="346" t="s">
        <v>29</v>
      </c>
      <c r="G15" s="555">
        <f t="shared" si="2"/>
        <v>0</v>
      </c>
      <c r="H15" s="556"/>
      <c r="I15" s="557">
        <f t="shared" si="3"/>
        <v>0</v>
      </c>
      <c r="J15" s="337"/>
    </row>
    <row r="16" spans="1:10" s="336" customFormat="1" x14ac:dyDescent="0.25">
      <c r="A16" s="346" t="s">
        <v>30</v>
      </c>
      <c r="B16" s="351">
        <f t="shared" si="0"/>
        <v>2976.7295755126929</v>
      </c>
      <c r="C16" s="348">
        <f t="shared" si="1"/>
        <v>2976.7295755126929</v>
      </c>
      <c r="D16" s="349">
        <f>L45</f>
        <v>0</v>
      </c>
      <c r="E16" s="345"/>
      <c r="F16" s="346" t="s">
        <v>30</v>
      </c>
      <c r="G16" s="555">
        <f t="shared" si="2"/>
        <v>2976.7295755126929</v>
      </c>
      <c r="H16" s="556">
        <f>'ANNEXE 1 Grille'!$B14*($I$26-$H$25-$H$24)</f>
        <v>1876.6382121259919</v>
      </c>
      <c r="I16" s="557">
        <f t="shared" si="3"/>
        <v>1100.091363386701</v>
      </c>
      <c r="J16" s="337"/>
    </row>
    <row r="17" spans="1:10" s="336" customFormat="1" x14ac:dyDescent="0.25">
      <c r="A17" s="346" t="s">
        <v>31</v>
      </c>
      <c r="B17" s="351">
        <f t="shared" si="0"/>
        <v>5112.499835664963</v>
      </c>
      <c r="C17" s="348">
        <f t="shared" si="1"/>
        <v>5112.499835664963</v>
      </c>
      <c r="D17" s="349">
        <f>D42</f>
        <v>0</v>
      </c>
      <c r="E17" s="346"/>
      <c r="F17" s="346" t="s">
        <v>31</v>
      </c>
      <c r="G17" s="555">
        <f t="shared" si="2"/>
        <v>5112.499835664963</v>
      </c>
      <c r="H17" s="556">
        <f>'ANNEXE 1 Grille'!$B15*($I$26-$H$25-$H$24)</f>
        <v>4012.4084722782618</v>
      </c>
      <c r="I17" s="557">
        <f t="shared" si="3"/>
        <v>1100.091363386701</v>
      </c>
      <c r="J17" s="337"/>
    </row>
    <row r="18" spans="1:10" s="336" customFormat="1" x14ac:dyDescent="0.25">
      <c r="A18" s="346" t="s">
        <v>32</v>
      </c>
      <c r="B18" s="351">
        <f t="shared" si="0"/>
        <v>1943.3248610054011</v>
      </c>
      <c r="C18" s="348">
        <f t="shared" si="1"/>
        <v>1943.3248610054011</v>
      </c>
      <c r="D18" s="349">
        <f>M42</f>
        <v>0</v>
      </c>
      <c r="E18" s="346"/>
      <c r="F18" s="346" t="s">
        <v>32</v>
      </c>
      <c r="G18" s="555">
        <f t="shared" si="2"/>
        <v>1943.3248610054011</v>
      </c>
      <c r="H18" s="556">
        <f>'ANNEXE 1 Grille'!$B16*($I$26-$H$25-$H$24)</f>
        <v>843.23349761870008</v>
      </c>
      <c r="I18" s="557">
        <f t="shared" si="3"/>
        <v>1100.091363386701</v>
      </c>
      <c r="J18" s="337"/>
    </row>
    <row r="19" spans="1:10" s="336" customFormat="1" x14ac:dyDescent="0.25">
      <c r="A19" s="346" t="s">
        <v>33</v>
      </c>
      <c r="B19" s="351">
        <f t="shared" si="0"/>
        <v>2625.0205395300327</v>
      </c>
      <c r="C19" s="348">
        <f t="shared" si="1"/>
        <v>2625.0205395300327</v>
      </c>
      <c r="D19" s="349">
        <f>K42</f>
        <v>0</v>
      </c>
      <c r="E19" s="346"/>
      <c r="F19" s="346" t="s">
        <v>33</v>
      </c>
      <c r="G19" s="555">
        <f t="shared" si="2"/>
        <v>2625.0205395300327</v>
      </c>
      <c r="H19" s="556">
        <f>'ANNEXE 1 Grille'!$B17*($I$26-$H$25-$H$24)</f>
        <v>1524.9291761433317</v>
      </c>
      <c r="I19" s="557">
        <f t="shared" si="3"/>
        <v>1100.091363386701</v>
      </c>
      <c r="J19" s="337"/>
    </row>
    <row r="20" spans="1:10" s="336" customFormat="1" x14ac:dyDescent="0.25">
      <c r="A20" s="346" t="s">
        <v>34</v>
      </c>
      <c r="B20" s="351">
        <f t="shared" si="0"/>
        <v>2033.4898841540403</v>
      </c>
      <c r="C20" s="348">
        <f t="shared" si="1"/>
        <v>2033.4898841540403</v>
      </c>
      <c r="D20" s="349">
        <f>0</f>
        <v>0</v>
      </c>
      <c r="E20" s="346"/>
      <c r="F20" s="346" t="s">
        <v>34</v>
      </c>
      <c r="G20" s="555">
        <f t="shared" si="2"/>
        <v>2033.4898841540403</v>
      </c>
      <c r="H20" s="556">
        <f>'ANNEXE 1 Grille'!$B18*($I$26-$H$25-$H$24)</f>
        <v>933.39852076733928</v>
      </c>
      <c r="I20" s="557">
        <f t="shared" si="3"/>
        <v>1100.091363386701</v>
      </c>
      <c r="J20" s="337"/>
    </row>
    <row r="21" spans="1:10" s="336" customFormat="1" x14ac:dyDescent="0.25">
      <c r="A21" s="346" t="s">
        <v>35</v>
      </c>
      <c r="B21" s="351">
        <f t="shared" si="0"/>
        <v>0</v>
      </c>
      <c r="C21" s="348">
        <f t="shared" si="1"/>
        <v>0</v>
      </c>
      <c r="D21" s="349">
        <f>0</f>
        <v>0</v>
      </c>
      <c r="E21" s="346"/>
      <c r="F21" s="346" t="s">
        <v>35</v>
      </c>
      <c r="G21" s="555">
        <f t="shared" si="2"/>
        <v>0</v>
      </c>
      <c r="H21" s="556"/>
      <c r="I21" s="557">
        <f t="shared" si="3"/>
        <v>0</v>
      </c>
      <c r="J21" s="337"/>
    </row>
    <row r="22" spans="1:10" s="336" customFormat="1" x14ac:dyDescent="0.25">
      <c r="A22" s="346" t="s">
        <v>36</v>
      </c>
      <c r="B22" s="351">
        <f t="shared" si="0"/>
        <v>7934.3030626130903</v>
      </c>
      <c r="C22" s="348">
        <f t="shared" si="1"/>
        <v>6350.7530816172712</v>
      </c>
      <c r="D22" s="349">
        <f>H45</f>
        <v>1583.5499809958189</v>
      </c>
      <c r="E22" s="345"/>
      <c r="F22" s="346" t="s">
        <v>36</v>
      </c>
      <c r="G22" s="555">
        <f t="shared" si="2"/>
        <v>6350.7530816172712</v>
      </c>
      <c r="H22" s="556">
        <f>'ANNEXE 1 Grille'!$B20*($I$26-$H$25-$H$24)</f>
        <v>5250.6617182305699</v>
      </c>
      <c r="I22" s="557">
        <f t="shared" si="3"/>
        <v>1100.091363386701</v>
      </c>
      <c r="J22" s="337"/>
    </row>
    <row r="23" spans="1:10" s="336" customFormat="1" x14ac:dyDescent="0.25">
      <c r="A23" s="346" t="s">
        <v>37</v>
      </c>
      <c r="B23" s="351">
        <f t="shared" si="0"/>
        <v>0</v>
      </c>
      <c r="C23" s="348">
        <f t="shared" si="1"/>
        <v>0</v>
      </c>
      <c r="D23" s="349">
        <v>0</v>
      </c>
      <c r="E23" s="346"/>
      <c r="F23" s="346" t="s">
        <v>37</v>
      </c>
      <c r="G23" s="555">
        <f t="shared" si="2"/>
        <v>0</v>
      </c>
      <c r="H23" s="556"/>
      <c r="I23" s="557">
        <f t="shared" si="3"/>
        <v>0</v>
      </c>
      <c r="J23" s="337"/>
    </row>
    <row r="24" spans="1:10" s="336" customFormat="1" x14ac:dyDescent="0.25">
      <c r="A24" s="346" t="s">
        <v>39</v>
      </c>
      <c r="B24" s="351">
        <f t="shared" si="0"/>
        <v>0</v>
      </c>
      <c r="C24" s="348">
        <f t="shared" si="1"/>
        <v>0</v>
      </c>
      <c r="D24" s="349">
        <v>0</v>
      </c>
      <c r="E24" s="346"/>
      <c r="F24" s="346" t="s">
        <v>39</v>
      </c>
      <c r="G24" s="555">
        <f t="shared" si="2"/>
        <v>0</v>
      </c>
      <c r="H24" s="556"/>
      <c r="I24" s="557"/>
      <c r="J24" s="337"/>
    </row>
    <row r="25" spans="1:10" s="336" customFormat="1" x14ac:dyDescent="0.25">
      <c r="A25" s="346" t="s">
        <v>5</v>
      </c>
      <c r="B25" s="351">
        <f t="shared" si="0"/>
        <v>32131.599999999999</v>
      </c>
      <c r="C25" s="348">
        <f t="shared" si="1"/>
        <v>32131.599999999999</v>
      </c>
      <c r="D25" s="466">
        <v>0</v>
      </c>
      <c r="E25" s="346"/>
      <c r="F25" s="346" t="s">
        <v>5</v>
      </c>
      <c r="G25" s="555">
        <f>H25+I25</f>
        <v>32131.599999999999</v>
      </c>
      <c r="H25" s="556">
        <f>80329*40/100</f>
        <v>32131.599999999999</v>
      </c>
      <c r="I25" s="557"/>
      <c r="J25" s="337"/>
    </row>
    <row r="26" spans="1:10" s="336" customFormat="1" ht="42" customHeight="1" x14ac:dyDescent="0.25">
      <c r="A26" s="366" t="s">
        <v>50</v>
      </c>
      <c r="B26" s="468">
        <f t="shared" si="0"/>
        <v>83313.481565944487</v>
      </c>
      <c r="C26" s="370">
        <f>SUM(C4:C25)</f>
        <v>81729.931584948674</v>
      </c>
      <c r="D26" s="370">
        <f>SUM(D4:D25)</f>
        <v>1583.5499809958189</v>
      </c>
      <c r="E26" s="605"/>
      <c r="F26" s="366" t="s">
        <v>50</v>
      </c>
      <c r="G26" s="558">
        <f>SUM(G4:G25)</f>
        <v>81729.931584948674</v>
      </c>
      <c r="H26" s="577">
        <f>SUM(H4:H25)</f>
        <v>67428.743860921561</v>
      </c>
      <c r="I26" s="559">
        <f>F31</f>
        <v>81729.931584948674</v>
      </c>
    </row>
    <row r="27" spans="1:10" ht="75" hidden="1" x14ac:dyDescent="0.25">
      <c r="A27" s="256" t="s">
        <v>51</v>
      </c>
      <c r="B27" s="254">
        <f>SUM(B4:B25)</f>
        <v>83313.481565944501</v>
      </c>
      <c r="C27" s="249">
        <f>SUM(C4:C25)</f>
        <v>81729.931584948674</v>
      </c>
      <c r="D27" s="249">
        <f>SUM(D4:D25)</f>
        <v>1583.5499809958189</v>
      </c>
      <c r="E27" s="323"/>
      <c r="F27" s="256" t="s">
        <v>51</v>
      </c>
      <c r="G27" s="296"/>
      <c r="H27" s="296">
        <f>I27-SUM(H4:H24)</f>
        <v>14301.187724027113</v>
      </c>
      <c r="I27" s="297">
        <f>F31-H25</f>
        <v>49598.331584948675</v>
      </c>
    </row>
    <row r="28" spans="1:10" ht="0.75" customHeight="1" x14ac:dyDescent="0.25">
      <c r="A28" s="252"/>
      <c r="B28" s="275"/>
      <c r="C28" s="275"/>
      <c r="D28" s="275"/>
      <c r="E28" s="323"/>
      <c r="F28" s="324" t="s">
        <v>52</v>
      </c>
      <c r="G28" s="296"/>
      <c r="H28" s="325"/>
      <c r="I28" s="297">
        <f>92661.81/1.2*40/100</f>
        <v>30887.27</v>
      </c>
    </row>
    <row r="29" spans="1:10" s="336" customFormat="1" x14ac:dyDescent="0.25">
      <c r="A29" s="371" t="s">
        <v>40</v>
      </c>
      <c r="B29" s="606">
        <f>SUM(B4:B25)</f>
        <v>83313.481565944501</v>
      </c>
      <c r="C29" s="606"/>
      <c r="D29" s="606"/>
      <c r="E29" s="381"/>
      <c r="F29" s="371" t="s">
        <v>40</v>
      </c>
      <c r="G29" s="564">
        <f>SUM(G4:G25)</f>
        <v>81729.931584948674</v>
      </c>
      <c r="H29" s="448"/>
      <c r="I29" s="448"/>
    </row>
    <row r="30" spans="1:10" s="336" customFormat="1" ht="15" customHeight="1" x14ac:dyDescent="0.25">
      <c r="B30" s="375"/>
      <c r="D30" s="762" t="s">
        <v>255</v>
      </c>
      <c r="E30" s="762"/>
      <c r="F30" s="580">
        <f>SUBTOTAL(3,H4:H23)</f>
        <v>13</v>
      </c>
      <c r="G30" s="375"/>
    </row>
    <row r="31" spans="1:10" s="336" customFormat="1" ht="15" customHeight="1" x14ac:dyDescent="0.25">
      <c r="A31" s="377"/>
      <c r="B31" s="375"/>
      <c r="C31" s="375"/>
      <c r="D31" s="749" t="s">
        <v>210</v>
      </c>
      <c r="E31" s="749"/>
      <c r="F31" s="542">
        <f>F33*F35</f>
        <v>81729.931584948674</v>
      </c>
      <c r="G31" s="375"/>
    </row>
    <row r="32" spans="1:10" s="336" customFormat="1" ht="15" customHeight="1" x14ac:dyDescent="0.25">
      <c r="A32" s="377"/>
      <c r="D32" s="749" t="s">
        <v>354</v>
      </c>
      <c r="E32" s="749"/>
      <c r="F32" s="542">
        <f>F31*1.2</f>
        <v>98075.917901938403</v>
      </c>
      <c r="G32" s="590"/>
    </row>
    <row r="33" spans="1:15" s="336" customFormat="1" ht="15" customHeight="1" x14ac:dyDescent="0.25">
      <c r="A33" s="377"/>
      <c r="D33" s="749" t="s">
        <v>211</v>
      </c>
      <c r="E33" s="749"/>
      <c r="F33" s="542">
        <v>78450</v>
      </c>
    </row>
    <row r="34" spans="1:15" s="336" customFormat="1" ht="15" customHeight="1" x14ac:dyDescent="0.25">
      <c r="A34" s="377"/>
      <c r="D34" s="749" t="s">
        <v>212</v>
      </c>
      <c r="E34" s="749"/>
      <c r="F34" s="542">
        <f>F33*1.2</f>
        <v>94140</v>
      </c>
    </row>
    <row r="35" spans="1:15" s="336" customFormat="1" ht="15" customHeight="1" x14ac:dyDescent="0.25">
      <c r="A35" s="377"/>
      <c r="D35" s="749" t="s">
        <v>401</v>
      </c>
      <c r="E35" s="749"/>
      <c r="F35" s="543">
        <f>2741/2631</f>
        <v>1.0418091980235651</v>
      </c>
    </row>
    <row r="36" spans="1:15" s="336" customFormat="1" x14ac:dyDescent="0.25">
      <c r="D36" s="426"/>
      <c r="E36" s="426"/>
      <c r="F36" s="390"/>
    </row>
    <row r="37" spans="1:15" s="336" customFormat="1" x14ac:dyDescent="0.25">
      <c r="D37" s="727" t="s">
        <v>213</v>
      </c>
      <c r="E37" s="727"/>
      <c r="F37" s="727"/>
    </row>
    <row r="38" spans="1:15" s="336" customFormat="1" x14ac:dyDescent="0.25">
      <c r="D38" s="591" t="s">
        <v>258</v>
      </c>
      <c r="E38" s="592"/>
      <c r="F38" s="370">
        <f>O46</f>
        <v>1583.5499809958189</v>
      </c>
    </row>
    <row r="39" spans="1:15" s="336" customFormat="1" x14ac:dyDescent="0.25">
      <c r="D39" s="591" t="s">
        <v>259</v>
      </c>
      <c r="E39" s="592"/>
      <c r="F39" s="370">
        <f>O47</f>
        <v>0</v>
      </c>
    </row>
    <row r="43" spans="1:15" s="336" customFormat="1" x14ac:dyDescent="0.25">
      <c r="A43" s="391" t="s">
        <v>343</v>
      </c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</row>
    <row r="44" spans="1:15" s="336" customFormat="1" ht="30" x14ac:dyDescent="0.25">
      <c r="A44" s="751">
        <v>2020</v>
      </c>
      <c r="B44" s="751"/>
      <c r="C44" s="751"/>
      <c r="D44" s="415" t="s">
        <v>31</v>
      </c>
      <c r="E44" s="415" t="s">
        <v>21</v>
      </c>
      <c r="F44" s="415" t="s">
        <v>27</v>
      </c>
      <c r="G44" s="415" t="s">
        <v>22</v>
      </c>
      <c r="H44" s="416" t="s">
        <v>36</v>
      </c>
      <c r="I44" s="415" t="s">
        <v>18</v>
      </c>
      <c r="J44" s="415" t="s">
        <v>28</v>
      </c>
      <c r="K44" s="415" t="s">
        <v>33</v>
      </c>
      <c r="L44" s="415" t="s">
        <v>30</v>
      </c>
      <c r="M44" s="415" t="s">
        <v>32</v>
      </c>
      <c r="N44" s="415" t="s">
        <v>20</v>
      </c>
      <c r="O44" s="490" t="s">
        <v>79</v>
      </c>
    </row>
    <row r="45" spans="1:15" s="336" customFormat="1" x14ac:dyDescent="0.25">
      <c r="A45" s="730" t="s">
        <v>216</v>
      </c>
      <c r="B45" s="730"/>
      <c r="C45" s="730"/>
      <c r="D45" s="402">
        <f t="shared" ref="D45:N45" si="4">SUM(D46:D47)</f>
        <v>0</v>
      </c>
      <c r="E45" s="402">
        <f t="shared" si="4"/>
        <v>0</v>
      </c>
      <c r="F45" s="402">
        <f t="shared" si="4"/>
        <v>0</v>
      </c>
      <c r="G45" s="402">
        <f t="shared" si="4"/>
        <v>0</v>
      </c>
      <c r="H45" s="402">
        <f t="shared" si="4"/>
        <v>1583.5499809958189</v>
      </c>
      <c r="I45" s="402">
        <f t="shared" si="4"/>
        <v>0</v>
      </c>
      <c r="J45" s="402">
        <f t="shared" si="4"/>
        <v>0</v>
      </c>
      <c r="K45" s="402">
        <f t="shared" si="4"/>
        <v>0</v>
      </c>
      <c r="L45" s="402">
        <f t="shared" si="4"/>
        <v>0</v>
      </c>
      <c r="M45" s="402">
        <f t="shared" si="4"/>
        <v>0</v>
      </c>
      <c r="N45" s="402">
        <f t="shared" si="4"/>
        <v>0</v>
      </c>
      <c r="O45" s="420">
        <f>SUM(D45:N45)</f>
        <v>1583.5499809958189</v>
      </c>
    </row>
    <row r="46" spans="1:15" s="336" customFormat="1" x14ac:dyDescent="0.25">
      <c r="A46" s="730" t="s">
        <v>262</v>
      </c>
      <c r="B46" s="730"/>
      <c r="C46" s="730"/>
      <c r="D46" s="588">
        <f>D53</f>
        <v>0</v>
      </c>
      <c r="E46" s="588">
        <f t="shared" ref="E46:N46" si="5">E53</f>
        <v>0</v>
      </c>
      <c r="F46" s="588">
        <f t="shared" si="5"/>
        <v>0</v>
      </c>
      <c r="G46" s="588">
        <f t="shared" si="5"/>
        <v>0</v>
      </c>
      <c r="H46" s="588">
        <f>H52</f>
        <v>1583.5499809958189</v>
      </c>
      <c r="I46" s="588">
        <f t="shared" si="5"/>
        <v>0</v>
      </c>
      <c r="J46" s="588">
        <f t="shared" si="5"/>
        <v>0</v>
      </c>
      <c r="K46" s="588">
        <f t="shared" si="5"/>
        <v>0</v>
      </c>
      <c r="L46" s="588">
        <f t="shared" si="5"/>
        <v>0</v>
      </c>
      <c r="M46" s="588">
        <f t="shared" si="5"/>
        <v>0</v>
      </c>
      <c r="N46" s="588">
        <f t="shared" si="5"/>
        <v>0</v>
      </c>
      <c r="O46" s="589">
        <f>O52</f>
        <v>1583.5499809958189</v>
      </c>
    </row>
    <row r="47" spans="1:15" s="336" customFormat="1" x14ac:dyDescent="0.25">
      <c r="A47" s="730" t="s">
        <v>263</v>
      </c>
      <c r="B47" s="730"/>
      <c r="C47" s="730"/>
      <c r="D47" s="403">
        <f t="shared" ref="D47:N47" si="6">D74</f>
        <v>0</v>
      </c>
      <c r="E47" s="403">
        <f t="shared" si="6"/>
        <v>0</v>
      </c>
      <c r="F47" s="403">
        <f t="shared" si="6"/>
        <v>0</v>
      </c>
      <c r="G47" s="403">
        <f t="shared" si="6"/>
        <v>0</v>
      </c>
      <c r="H47" s="403">
        <f t="shared" si="6"/>
        <v>0</v>
      </c>
      <c r="I47" s="403">
        <f t="shared" si="6"/>
        <v>0</v>
      </c>
      <c r="J47" s="403">
        <f t="shared" si="6"/>
        <v>0</v>
      </c>
      <c r="K47" s="403">
        <f t="shared" si="6"/>
        <v>0</v>
      </c>
      <c r="L47" s="403">
        <f t="shared" si="6"/>
        <v>0</v>
      </c>
      <c r="M47" s="403">
        <f t="shared" si="6"/>
        <v>0</v>
      </c>
      <c r="N47" s="403">
        <f t="shared" si="6"/>
        <v>0</v>
      </c>
      <c r="O47" s="420">
        <f>SUM(D47:N47)</f>
        <v>0</v>
      </c>
    </row>
    <row r="48" spans="1:15" x14ac:dyDescent="0.25">
      <c r="A48" s="260"/>
      <c r="B48" s="261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O48" s="253"/>
    </row>
    <row r="49" spans="1:15" x14ac:dyDescent="0.25">
      <c r="A49" s="260"/>
      <c r="B49" s="261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</row>
    <row r="50" spans="1:15" s="336" customFormat="1" x14ac:dyDescent="0.25">
      <c r="A50" s="411" t="s">
        <v>271</v>
      </c>
      <c r="B50" s="411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</row>
    <row r="51" spans="1:15" s="336" customFormat="1" ht="26.25" customHeight="1" x14ac:dyDescent="0.25">
      <c r="A51" s="752" t="s">
        <v>265</v>
      </c>
      <c r="B51" s="752"/>
      <c r="C51" s="516" t="s">
        <v>272</v>
      </c>
      <c r="D51" s="415" t="s">
        <v>222</v>
      </c>
      <c r="E51" s="415" t="s">
        <v>21</v>
      </c>
      <c r="F51" s="415" t="s">
        <v>27</v>
      </c>
      <c r="G51" s="415" t="s">
        <v>22</v>
      </c>
      <c r="H51" s="416" t="s">
        <v>36</v>
      </c>
      <c r="I51" s="416" t="s">
        <v>18</v>
      </c>
      <c r="J51" s="415" t="s">
        <v>223</v>
      </c>
      <c r="K51" s="415" t="s">
        <v>33</v>
      </c>
      <c r="L51" s="415" t="s">
        <v>30</v>
      </c>
      <c r="M51" s="415" t="s">
        <v>32</v>
      </c>
      <c r="N51" s="415" t="s">
        <v>20</v>
      </c>
      <c r="O51" s="490" t="s">
        <v>79</v>
      </c>
    </row>
    <row r="52" spans="1:15" s="336" customFormat="1" ht="26.25" customHeight="1" x14ac:dyDescent="0.25">
      <c r="A52" s="517">
        <f>F35</f>
        <v>1.0418091980235651</v>
      </c>
      <c r="B52" s="518">
        <v>2020</v>
      </c>
      <c r="C52" s="582">
        <f>C54*A52</f>
        <v>395.88749524895474</v>
      </c>
      <c r="D52" s="415"/>
      <c r="E52" s="415"/>
      <c r="F52" s="415"/>
      <c r="G52" s="415"/>
      <c r="H52" s="583">
        <f>C52*H59</f>
        <v>1583.5499809958189</v>
      </c>
      <c r="I52" s="583">
        <f t="shared" ref="I52:N52" si="7">D52*I59</f>
        <v>0</v>
      </c>
      <c r="J52" s="583">
        <f t="shared" si="7"/>
        <v>0</v>
      </c>
      <c r="K52" s="583">
        <f t="shared" si="7"/>
        <v>0</v>
      </c>
      <c r="L52" s="583">
        <f t="shared" si="7"/>
        <v>0</v>
      </c>
      <c r="M52" s="583">
        <f t="shared" si="7"/>
        <v>0</v>
      </c>
      <c r="N52" s="583">
        <f t="shared" si="7"/>
        <v>0</v>
      </c>
      <c r="O52" s="581">
        <f>SUM(D52:J52)</f>
        <v>1583.5499809958189</v>
      </c>
    </row>
    <row r="53" spans="1:15" s="336" customFormat="1" x14ac:dyDescent="0.25">
      <c r="A53" s="517">
        <v>1.024</v>
      </c>
      <c r="B53" s="518">
        <v>2019</v>
      </c>
      <c r="C53" s="582">
        <f>C54*A53</f>
        <v>389.12</v>
      </c>
      <c r="D53" s="500">
        <f t="shared" ref="D53:I55" si="8">$E$63/10*D$59</f>
        <v>0</v>
      </c>
      <c r="E53" s="500">
        <f t="shared" si="8"/>
        <v>0</v>
      </c>
      <c r="F53" s="500">
        <f t="shared" si="8"/>
        <v>0</v>
      </c>
      <c r="G53" s="500">
        <f t="shared" si="8"/>
        <v>0</v>
      </c>
      <c r="H53" s="583">
        <f>C53*H59</f>
        <v>1556.48</v>
      </c>
      <c r="I53" s="500">
        <f t="shared" si="8"/>
        <v>0</v>
      </c>
      <c r="J53" s="500">
        <v>0</v>
      </c>
      <c r="K53" s="500">
        <f t="shared" ref="K53:N56" si="9">$E$63/10*K$59</f>
        <v>0</v>
      </c>
      <c r="L53" s="500">
        <f t="shared" si="9"/>
        <v>0</v>
      </c>
      <c r="M53" s="500">
        <f t="shared" si="9"/>
        <v>0</v>
      </c>
      <c r="N53" s="500">
        <f t="shared" si="9"/>
        <v>0</v>
      </c>
      <c r="O53" s="581">
        <f>SUM(D53:J53)</f>
        <v>1556.48</v>
      </c>
    </row>
    <row r="54" spans="1:15" s="336" customFormat="1" x14ac:dyDescent="0.25">
      <c r="A54" s="752">
        <v>2018</v>
      </c>
      <c r="B54" s="752"/>
      <c r="C54" s="584">
        <v>380</v>
      </c>
      <c r="D54" s="500">
        <f t="shared" si="8"/>
        <v>0</v>
      </c>
      <c r="E54" s="500">
        <f t="shared" si="8"/>
        <v>0</v>
      </c>
      <c r="F54" s="500">
        <f t="shared" si="8"/>
        <v>0</v>
      </c>
      <c r="G54" s="500">
        <f t="shared" si="8"/>
        <v>0</v>
      </c>
      <c r="H54" s="500">
        <f>C54*H59</f>
        <v>1520</v>
      </c>
      <c r="I54" s="500">
        <f t="shared" si="8"/>
        <v>0</v>
      </c>
      <c r="J54" s="500">
        <v>0</v>
      </c>
      <c r="K54" s="500">
        <f t="shared" si="9"/>
        <v>0</v>
      </c>
      <c r="L54" s="500">
        <f t="shared" si="9"/>
        <v>0</v>
      </c>
      <c r="M54" s="500">
        <f t="shared" si="9"/>
        <v>0</v>
      </c>
      <c r="N54" s="500">
        <f t="shared" si="9"/>
        <v>0</v>
      </c>
      <c r="O54" s="581">
        <f t="shared" ref="O54:O58" si="10">SUM(D54:J54)</f>
        <v>1520</v>
      </c>
    </row>
    <row r="55" spans="1:15" s="336" customFormat="1" x14ac:dyDescent="0.25">
      <c r="A55" s="752">
        <v>2017</v>
      </c>
      <c r="B55" s="752"/>
      <c r="C55" s="584"/>
      <c r="D55" s="500">
        <f t="shared" si="8"/>
        <v>0</v>
      </c>
      <c r="E55" s="500">
        <f t="shared" si="8"/>
        <v>0</v>
      </c>
      <c r="F55" s="500">
        <f t="shared" si="8"/>
        <v>0</v>
      </c>
      <c r="G55" s="500">
        <f t="shared" si="8"/>
        <v>0</v>
      </c>
      <c r="H55" s="500">
        <f t="shared" si="8"/>
        <v>3878.6297803091948</v>
      </c>
      <c r="I55" s="500">
        <f t="shared" si="8"/>
        <v>0</v>
      </c>
      <c r="J55" s="500">
        <v>0</v>
      </c>
      <c r="K55" s="500">
        <f t="shared" si="9"/>
        <v>0</v>
      </c>
      <c r="L55" s="500">
        <f t="shared" si="9"/>
        <v>0</v>
      </c>
      <c r="M55" s="500">
        <f t="shared" si="9"/>
        <v>0</v>
      </c>
      <c r="N55" s="500">
        <f t="shared" si="9"/>
        <v>0</v>
      </c>
      <c r="O55" s="581">
        <f t="shared" si="10"/>
        <v>3878.6297803091948</v>
      </c>
    </row>
    <row r="56" spans="1:15" s="336" customFormat="1" x14ac:dyDescent="0.25">
      <c r="A56" s="752">
        <v>2016</v>
      </c>
      <c r="B56" s="752"/>
      <c r="C56" s="584"/>
      <c r="D56" s="500">
        <v>0</v>
      </c>
      <c r="E56" s="500">
        <v>0</v>
      </c>
      <c r="F56" s="500">
        <v>0</v>
      </c>
      <c r="G56" s="500">
        <v>0</v>
      </c>
      <c r="H56" s="500">
        <f>D63/10*H59</f>
        <v>3809.2027600000001</v>
      </c>
      <c r="I56" s="500">
        <v>0</v>
      </c>
      <c r="J56" s="500">
        <f>D63/10*J59</f>
        <v>952.30069000000003</v>
      </c>
      <c r="K56" s="500">
        <v>0</v>
      </c>
      <c r="L56" s="500">
        <v>0</v>
      </c>
      <c r="M56" s="500">
        <f t="shared" si="9"/>
        <v>0</v>
      </c>
      <c r="N56" s="500">
        <f t="shared" si="9"/>
        <v>0</v>
      </c>
      <c r="O56" s="581">
        <f t="shared" si="10"/>
        <v>4761.5034500000002</v>
      </c>
    </row>
    <row r="57" spans="1:15" s="336" customFormat="1" x14ac:dyDescent="0.25">
      <c r="A57" s="752">
        <v>2015</v>
      </c>
      <c r="B57" s="752"/>
      <c r="C57" s="584"/>
      <c r="D57" s="500">
        <v>0</v>
      </c>
      <c r="E57" s="500">
        <v>0</v>
      </c>
      <c r="F57" s="500">
        <v>0</v>
      </c>
      <c r="G57" s="500">
        <v>0</v>
      </c>
      <c r="H57" s="500">
        <f>C63/10*H59</f>
        <v>3694.7616000000003</v>
      </c>
      <c r="I57" s="500">
        <v>0</v>
      </c>
      <c r="J57" s="500">
        <f>C63/10*J59</f>
        <v>923.69040000000007</v>
      </c>
      <c r="K57" s="500">
        <v>0</v>
      </c>
      <c r="L57" s="500">
        <v>0</v>
      </c>
      <c r="M57" s="500">
        <v>0</v>
      </c>
      <c r="N57" s="500">
        <v>0</v>
      </c>
      <c r="O57" s="581">
        <f t="shared" si="10"/>
        <v>4618.4520000000002</v>
      </c>
    </row>
    <row r="58" spans="1:15" s="336" customFormat="1" x14ac:dyDescent="0.25">
      <c r="A58" s="752">
        <v>2014</v>
      </c>
      <c r="B58" s="752"/>
      <c r="C58" s="584"/>
      <c r="D58" s="500">
        <v>0</v>
      </c>
      <c r="E58" s="500">
        <v>0</v>
      </c>
      <c r="F58" s="500">
        <v>0</v>
      </c>
      <c r="G58" s="500">
        <v>0</v>
      </c>
      <c r="H58" s="500">
        <f>B63/10*H59</f>
        <v>3709.6</v>
      </c>
      <c r="I58" s="500">
        <v>0</v>
      </c>
      <c r="J58" s="500">
        <f>D63/10*1</f>
        <v>952.30069000000003</v>
      </c>
      <c r="K58" s="500">
        <v>0</v>
      </c>
      <c r="L58" s="500">
        <v>0</v>
      </c>
      <c r="M58" s="500">
        <v>0</v>
      </c>
      <c r="N58" s="500">
        <v>0</v>
      </c>
      <c r="O58" s="581">
        <f t="shared" si="10"/>
        <v>4661.9006900000004</v>
      </c>
    </row>
    <row r="59" spans="1:15" s="336" customFormat="1" ht="15" customHeight="1" x14ac:dyDescent="0.25">
      <c r="A59" s="752" t="s">
        <v>224</v>
      </c>
      <c r="B59" s="752"/>
      <c r="C59" s="585">
        <v>0</v>
      </c>
      <c r="D59" s="586">
        <v>0</v>
      </c>
      <c r="E59" s="587">
        <v>0</v>
      </c>
      <c r="F59" s="587">
        <v>0</v>
      </c>
      <c r="G59" s="587">
        <v>0</v>
      </c>
      <c r="H59" s="587">
        <v>4</v>
      </c>
      <c r="I59" s="587">
        <v>0</v>
      </c>
      <c r="J59" s="587">
        <v>1</v>
      </c>
      <c r="K59" s="587">
        <v>0</v>
      </c>
      <c r="L59" s="587">
        <v>0</v>
      </c>
      <c r="M59" s="587">
        <v>0</v>
      </c>
      <c r="N59" s="587">
        <v>0</v>
      </c>
      <c r="O59" s="587"/>
    </row>
    <row r="60" spans="1:15" x14ac:dyDescent="0.25">
      <c r="A60" s="269"/>
      <c r="B60" s="270"/>
      <c r="C60" s="270"/>
      <c r="D60" s="270"/>
      <c r="E60" s="246"/>
      <c r="F60" s="246"/>
      <c r="G60" s="246"/>
      <c r="H60" s="246"/>
      <c r="I60" s="246"/>
      <c r="K60" s="246"/>
      <c r="L60" s="246"/>
      <c r="M60" s="246"/>
      <c r="N60" s="246"/>
      <c r="O60" s="246"/>
    </row>
    <row r="61" spans="1:15" s="336" customFormat="1" x14ac:dyDescent="0.25">
      <c r="A61" s="422" t="s">
        <v>273</v>
      </c>
      <c r="B61" s="423">
        <v>2014</v>
      </c>
      <c r="C61" s="423">
        <v>2015</v>
      </c>
      <c r="D61" s="423">
        <v>2016</v>
      </c>
      <c r="E61" s="423">
        <v>2017</v>
      </c>
      <c r="F61" s="423">
        <v>2018</v>
      </c>
      <c r="G61" s="423">
        <v>2019</v>
      </c>
      <c r="H61" s="423">
        <v>2020</v>
      </c>
      <c r="I61" s="337"/>
      <c r="J61" s="337"/>
      <c r="K61" s="337"/>
      <c r="L61" s="337"/>
      <c r="M61" s="337"/>
      <c r="N61" s="337"/>
      <c r="O61" s="337"/>
    </row>
    <row r="62" spans="1:15" s="336" customFormat="1" x14ac:dyDescent="0.25">
      <c r="A62" s="422" t="s">
        <v>220</v>
      </c>
      <c r="B62" s="422" t="s">
        <v>156</v>
      </c>
      <c r="C62" s="422">
        <v>0.996</v>
      </c>
      <c r="D62" s="593">
        <v>1.02685</v>
      </c>
      <c r="E62" s="418">
        <f>2570/2458</f>
        <v>1.0455655004068349</v>
      </c>
      <c r="F62" s="594" t="s">
        <v>156</v>
      </c>
      <c r="G62" s="418">
        <f>A53</f>
        <v>1.024</v>
      </c>
      <c r="H62" s="418">
        <f>F35</f>
        <v>1.0418091980235651</v>
      </c>
      <c r="I62" s="337"/>
      <c r="J62" s="337"/>
      <c r="K62" s="337"/>
      <c r="L62" s="337"/>
      <c r="M62" s="337"/>
      <c r="N62" s="337"/>
      <c r="O62" s="337"/>
    </row>
    <row r="63" spans="1:15" s="336" customFormat="1" x14ac:dyDescent="0.25">
      <c r="A63" s="422" t="s">
        <v>274</v>
      </c>
      <c r="B63" s="423">
        <v>9274</v>
      </c>
      <c r="C63" s="595">
        <f>B63*C62</f>
        <v>9236.9040000000005</v>
      </c>
      <c r="D63" s="595">
        <f>B63*D62</f>
        <v>9523.0069000000003</v>
      </c>
      <c r="E63" s="595">
        <f>B63*E62</f>
        <v>9696.5744507729869</v>
      </c>
      <c r="F63" s="337"/>
      <c r="G63" s="337"/>
      <c r="H63" s="337"/>
      <c r="I63" s="337"/>
      <c r="J63" s="337"/>
      <c r="K63" s="337"/>
      <c r="L63" s="337"/>
      <c r="M63" s="337"/>
      <c r="N63" s="337"/>
      <c r="O63" s="337"/>
    </row>
    <row r="64" spans="1:15" s="336" customFormat="1" x14ac:dyDescent="0.25">
      <c r="A64" s="424"/>
      <c r="B64" s="425"/>
      <c r="C64" s="425"/>
      <c r="D64" s="425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</row>
    <row r="65" spans="1:15" s="336" customFormat="1" x14ac:dyDescent="0.25">
      <c r="A65" s="596" t="s">
        <v>344</v>
      </c>
      <c r="B65" s="597"/>
      <c r="C65" s="597"/>
      <c r="D65" s="598"/>
      <c r="E65" s="599"/>
      <c r="F65" s="600"/>
      <c r="G65" s="598"/>
      <c r="H65" s="337"/>
      <c r="I65" s="337"/>
      <c r="J65" s="337"/>
      <c r="K65" s="337"/>
      <c r="L65" s="337"/>
      <c r="M65" s="337"/>
      <c r="N65" s="337"/>
      <c r="O65" s="337"/>
    </row>
    <row r="66" spans="1:15" s="336" customFormat="1" x14ac:dyDescent="0.25">
      <c r="A66" s="601" t="s">
        <v>388</v>
      </c>
      <c r="B66" s="600"/>
      <c r="C66" s="598"/>
      <c r="D66" s="337"/>
      <c r="E66" s="337"/>
      <c r="F66" s="337"/>
      <c r="G66" s="337"/>
      <c r="H66" s="337"/>
      <c r="I66" s="337"/>
      <c r="J66" s="337"/>
      <c r="K66" s="337"/>
    </row>
    <row r="67" spans="1:15" s="336" customFormat="1" x14ac:dyDescent="0.25">
      <c r="A67" s="601" t="s">
        <v>389</v>
      </c>
      <c r="B67" s="600"/>
      <c r="C67" s="598"/>
      <c r="D67" s="337"/>
      <c r="E67" s="337"/>
      <c r="F67" s="337"/>
      <c r="G67" s="337"/>
      <c r="H67" s="337"/>
      <c r="I67" s="337"/>
      <c r="J67" s="337"/>
      <c r="K67" s="337"/>
    </row>
    <row r="68" spans="1:15" s="336" customFormat="1" x14ac:dyDescent="0.25">
      <c r="A68" s="601" t="s">
        <v>390</v>
      </c>
      <c r="B68" s="600"/>
      <c r="C68" s="598"/>
      <c r="D68" s="337"/>
      <c r="E68" s="337"/>
      <c r="F68" s="337"/>
      <c r="G68" s="337"/>
      <c r="H68" s="337"/>
      <c r="I68" s="337"/>
      <c r="J68" s="337"/>
      <c r="K68" s="337"/>
    </row>
    <row r="69" spans="1:15" s="336" customFormat="1" x14ac:dyDescent="0.25">
      <c r="A69" s="601" t="s">
        <v>391</v>
      </c>
      <c r="B69" s="600"/>
      <c r="C69" s="598"/>
      <c r="D69" s="337"/>
      <c r="E69" s="337"/>
      <c r="F69" s="337"/>
      <c r="G69" s="337"/>
      <c r="H69" s="337"/>
      <c r="I69" s="337"/>
      <c r="J69" s="337"/>
      <c r="K69" s="337"/>
    </row>
    <row r="70" spans="1:15" x14ac:dyDescent="0.25">
      <c r="A70" s="326"/>
      <c r="B70" s="327"/>
      <c r="C70" s="328"/>
      <c r="D70" s="326"/>
      <c r="E70" s="246"/>
      <c r="F70" s="246"/>
      <c r="G70" s="246"/>
      <c r="H70" s="246"/>
      <c r="I70" s="246"/>
      <c r="J70" s="246"/>
      <c r="K70" s="246"/>
      <c r="L70" s="246"/>
    </row>
    <row r="71" spans="1:15" x14ac:dyDescent="0.25">
      <c r="A71" s="326"/>
      <c r="B71" s="327"/>
      <c r="C71" s="328"/>
      <c r="D71" s="326"/>
      <c r="E71" s="246"/>
      <c r="F71" s="246"/>
      <c r="G71" s="246"/>
      <c r="H71" s="246"/>
      <c r="I71" s="246"/>
      <c r="J71" s="246"/>
      <c r="K71" s="246"/>
      <c r="L71" s="246"/>
    </row>
    <row r="72" spans="1:15" x14ac:dyDescent="0.25">
      <c r="A72" s="258" t="s">
        <v>251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</row>
    <row r="73" spans="1:15" ht="90" x14ac:dyDescent="0.25">
      <c r="A73" s="272" t="s">
        <v>265</v>
      </c>
      <c r="B73" s="272" t="s">
        <v>220</v>
      </c>
      <c r="C73" s="272" t="s">
        <v>221</v>
      </c>
      <c r="D73" s="263" t="s">
        <v>222</v>
      </c>
      <c r="E73" s="263" t="s">
        <v>21</v>
      </c>
      <c r="F73" s="263" t="s">
        <v>27</v>
      </c>
      <c r="G73" s="263" t="s">
        <v>22</v>
      </c>
      <c r="H73" s="264" t="s">
        <v>36</v>
      </c>
      <c r="I73" s="263" t="s">
        <v>18</v>
      </c>
      <c r="J73" s="263" t="s">
        <v>223</v>
      </c>
      <c r="K73" s="263" t="s">
        <v>33</v>
      </c>
      <c r="L73" s="263" t="s">
        <v>30</v>
      </c>
      <c r="M73" s="263" t="s">
        <v>32</v>
      </c>
      <c r="N73" s="263" t="s">
        <v>20</v>
      </c>
    </row>
    <row r="74" spans="1:15" x14ac:dyDescent="0.25">
      <c r="A74" s="272">
        <v>2017</v>
      </c>
      <c r="B74" s="266">
        <f>2570/2458</f>
        <v>1.0455655004068349</v>
      </c>
      <c r="C74" s="329">
        <f>B74*C77</f>
        <v>1777.4613506916194</v>
      </c>
      <c r="D74" s="322">
        <v>0</v>
      </c>
      <c r="E74" s="322">
        <v>0</v>
      </c>
      <c r="F74" s="322">
        <v>0</v>
      </c>
      <c r="G74" s="322">
        <v>0</v>
      </c>
      <c r="H74" s="322">
        <v>0</v>
      </c>
      <c r="I74" s="322">
        <v>0</v>
      </c>
      <c r="J74" s="322">
        <v>0</v>
      </c>
      <c r="K74" s="322">
        <v>0</v>
      </c>
      <c r="L74" s="322">
        <v>0</v>
      </c>
      <c r="M74" s="322">
        <v>0</v>
      </c>
      <c r="N74" s="322">
        <v>0</v>
      </c>
    </row>
    <row r="75" spans="1:15" x14ac:dyDescent="0.25">
      <c r="A75" s="265">
        <v>2016</v>
      </c>
      <c r="B75" s="266">
        <v>1.02685</v>
      </c>
      <c r="C75" s="322">
        <f>C77*B75</f>
        <v>1745.645</v>
      </c>
      <c r="D75" s="322">
        <v>0</v>
      </c>
      <c r="E75" s="322">
        <v>0</v>
      </c>
      <c r="F75" s="322">
        <v>0</v>
      </c>
      <c r="G75" s="322">
        <v>0</v>
      </c>
      <c r="H75" s="322">
        <f>$C75/2</f>
        <v>872.82249999999999</v>
      </c>
      <c r="I75" s="322">
        <v>0</v>
      </c>
      <c r="J75" s="322">
        <v>0</v>
      </c>
      <c r="K75" s="322">
        <v>0</v>
      </c>
      <c r="L75" s="322">
        <f>$C75/2</f>
        <v>872.82249999999999</v>
      </c>
      <c r="M75" s="322">
        <v>0</v>
      </c>
      <c r="N75" s="322">
        <v>0</v>
      </c>
    </row>
    <row r="76" spans="1:15" x14ac:dyDescent="0.25">
      <c r="A76" s="265">
        <v>2015</v>
      </c>
      <c r="B76" s="267">
        <v>0.996</v>
      </c>
      <c r="C76" s="322">
        <f>C77*B76</f>
        <v>1693.2</v>
      </c>
      <c r="D76" s="322">
        <v>0</v>
      </c>
      <c r="E76" s="322">
        <v>0</v>
      </c>
      <c r="F76" s="322">
        <v>0</v>
      </c>
      <c r="G76" s="322">
        <v>0</v>
      </c>
      <c r="H76" s="322">
        <f>$C76/2</f>
        <v>846.6</v>
      </c>
      <c r="I76" s="322">
        <v>0</v>
      </c>
      <c r="J76" s="322">
        <v>0</v>
      </c>
      <c r="K76" s="322">
        <v>0</v>
      </c>
      <c r="L76" s="322">
        <f>$C76/2</f>
        <v>846.6</v>
      </c>
      <c r="M76" s="322">
        <v>0</v>
      </c>
      <c r="N76" s="322">
        <v>0</v>
      </c>
    </row>
    <row r="77" spans="1:15" x14ac:dyDescent="0.25">
      <c r="A77" s="265">
        <v>2014</v>
      </c>
      <c r="B77" s="273" t="s">
        <v>156</v>
      </c>
      <c r="C77" s="322">
        <v>1700</v>
      </c>
      <c r="D77" s="322">
        <v>0</v>
      </c>
      <c r="E77" s="322">
        <v>0</v>
      </c>
      <c r="F77" s="322">
        <v>0</v>
      </c>
      <c r="G77" s="322">
        <v>0</v>
      </c>
      <c r="H77" s="322">
        <f>$C77/2</f>
        <v>850</v>
      </c>
      <c r="I77" s="322">
        <v>0</v>
      </c>
      <c r="J77" s="322">
        <v>0</v>
      </c>
      <c r="K77" s="322">
        <v>0</v>
      </c>
      <c r="L77" s="322">
        <f>$C77/2</f>
        <v>850</v>
      </c>
      <c r="M77" s="322">
        <v>0</v>
      </c>
      <c r="N77" s="322">
        <v>0</v>
      </c>
    </row>
  </sheetData>
  <mergeCells count="24">
    <mergeCell ref="A58:B58"/>
    <mergeCell ref="A59:B59"/>
    <mergeCell ref="A46:C46"/>
    <mergeCell ref="A47:C47"/>
    <mergeCell ref="A51:B51"/>
    <mergeCell ref="A55:B55"/>
    <mergeCell ref="A56:B56"/>
    <mergeCell ref="A54:B54"/>
    <mergeCell ref="D35:E35"/>
    <mergeCell ref="D37:F37"/>
    <mergeCell ref="A44:C44"/>
    <mergeCell ref="A45:C45"/>
    <mergeCell ref="A57:B57"/>
    <mergeCell ref="D30:E30"/>
    <mergeCell ref="D31:E31"/>
    <mergeCell ref="D32:E32"/>
    <mergeCell ref="D33:E33"/>
    <mergeCell ref="D34:E34"/>
    <mergeCell ref="A1:A3"/>
    <mergeCell ref="B1:D1"/>
    <mergeCell ref="F1:F3"/>
    <mergeCell ref="G1:I1"/>
    <mergeCell ref="B2:D2"/>
    <mergeCell ref="G2:I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L40"/>
  <sheetViews>
    <sheetView topLeftCell="A28" workbookViewId="0">
      <selection activeCell="A30" sqref="A30:C40"/>
    </sheetView>
  </sheetViews>
  <sheetFormatPr baseColWidth="10" defaultColWidth="9.140625" defaultRowHeight="15" x14ac:dyDescent="0.25"/>
  <cols>
    <col min="1" max="1" width="9.140625" style="336"/>
    <col min="2" max="2" width="21.28515625" style="336" customWidth="1"/>
    <col min="3" max="3" width="15.28515625" style="336" customWidth="1"/>
    <col min="4" max="4" width="16" style="336" customWidth="1"/>
    <col min="5" max="5" width="10.42578125" style="336" bestFit="1" customWidth="1"/>
    <col min="6" max="6" width="9.140625" style="336"/>
    <col min="7" max="9" width="11.42578125" style="336" bestFit="1" customWidth="1"/>
    <col min="10" max="16384" width="9.140625" style="336"/>
  </cols>
  <sheetData>
    <row r="1" spans="1:12" ht="15" customHeight="1" x14ac:dyDescent="0.25">
      <c r="A1" s="722" t="s">
        <v>53</v>
      </c>
      <c r="B1" s="723" t="s">
        <v>47</v>
      </c>
      <c r="C1" s="723"/>
      <c r="D1" s="723"/>
      <c r="E1" s="459"/>
      <c r="F1" s="767" t="s">
        <v>53</v>
      </c>
      <c r="G1" s="611"/>
      <c r="H1" s="612"/>
      <c r="I1" s="612"/>
      <c r="J1" s="512"/>
      <c r="K1" s="512"/>
      <c r="L1" s="512"/>
    </row>
    <row r="2" spans="1:12" ht="15" customHeight="1" x14ac:dyDescent="0.25">
      <c r="A2" s="722"/>
      <c r="B2" s="740" t="s">
        <v>444</v>
      </c>
      <c r="C2" s="740"/>
      <c r="D2" s="740"/>
      <c r="E2" s="459"/>
      <c r="F2" s="767"/>
      <c r="G2" s="766">
        <v>2020</v>
      </c>
      <c r="H2" s="766"/>
      <c r="I2" s="766"/>
      <c r="J2" s="613"/>
      <c r="K2" s="337"/>
      <c r="L2" s="337"/>
    </row>
    <row r="3" spans="1:12" ht="60" x14ac:dyDescent="0.25">
      <c r="A3" s="722"/>
      <c r="B3" s="460" t="s">
        <v>159</v>
      </c>
      <c r="C3" s="461" t="s">
        <v>206</v>
      </c>
      <c r="D3" s="461" t="s">
        <v>345</v>
      </c>
      <c r="E3" s="462"/>
      <c r="F3" s="767"/>
      <c r="G3" s="461" t="s">
        <v>200</v>
      </c>
      <c r="H3" s="343" t="s">
        <v>201</v>
      </c>
      <c r="I3" s="614" t="s">
        <v>202</v>
      </c>
    </row>
    <row r="4" spans="1:12" x14ac:dyDescent="0.25">
      <c r="A4" s="346" t="s">
        <v>18</v>
      </c>
      <c r="B4" s="351">
        <f t="shared" ref="B4:B26" si="0">C4+D4</f>
        <v>6572.0622347738608</v>
      </c>
      <c r="C4" s="348">
        <f t="shared" ref="C4:C25" si="1">G4</f>
        <v>6251.6658367970749</v>
      </c>
      <c r="D4" s="349">
        <f t="shared" ref="D4:D24" si="2">IF(C4&lt;&gt;0,$C$39/$C$30,0)</f>
        <v>320.39639797678564</v>
      </c>
      <c r="E4" s="467"/>
      <c r="F4" s="346" t="s">
        <v>18</v>
      </c>
      <c r="G4" s="348">
        <f t="shared" ref="G4:G24" si="3">H4+I4</f>
        <v>6251.6658367970749</v>
      </c>
      <c r="H4" s="351">
        <f>'ANNEXE 1 Grille'!B2*$I$26/2</f>
        <v>4274.2804629529464</v>
      </c>
      <c r="I4" s="557">
        <f t="shared" ref="I4:I20" si="4">IF(H4&lt;&gt;0,K$27/C$30,H4)</f>
        <v>1977.3853738441283</v>
      </c>
    </row>
    <row r="5" spans="1:12" x14ac:dyDescent="0.25">
      <c r="A5" s="346" t="s">
        <v>19</v>
      </c>
      <c r="B5" s="351">
        <f t="shared" si="0"/>
        <v>0</v>
      </c>
      <c r="C5" s="348">
        <f t="shared" si="1"/>
        <v>0</v>
      </c>
      <c r="D5" s="349">
        <f t="shared" si="2"/>
        <v>0</v>
      </c>
      <c r="E5" s="467"/>
      <c r="F5" s="346" t="s">
        <v>19</v>
      </c>
      <c r="G5" s="348">
        <f t="shared" si="3"/>
        <v>0</v>
      </c>
      <c r="H5" s="351"/>
      <c r="I5" s="557">
        <f t="shared" si="4"/>
        <v>0</v>
      </c>
    </row>
    <row r="6" spans="1:12" x14ac:dyDescent="0.25">
      <c r="A6" s="346" t="s">
        <v>20</v>
      </c>
      <c r="B6" s="351">
        <f t="shared" si="0"/>
        <v>3660.7349462579959</v>
      </c>
      <c r="C6" s="348">
        <f t="shared" si="1"/>
        <v>3340.3385482812105</v>
      </c>
      <c r="D6" s="349">
        <f t="shared" si="2"/>
        <v>320.39639797678564</v>
      </c>
      <c r="E6" s="467"/>
      <c r="F6" s="346" t="s">
        <v>20</v>
      </c>
      <c r="G6" s="348">
        <f t="shared" si="3"/>
        <v>3340.3385482812105</v>
      </c>
      <c r="H6" s="351">
        <f>'ANNEXE 1 Grille'!B4*$I$26/2</f>
        <v>1362.9531744370822</v>
      </c>
      <c r="I6" s="557">
        <f t="shared" si="4"/>
        <v>1977.3853738441283</v>
      </c>
    </row>
    <row r="7" spans="1:12" x14ac:dyDescent="0.25">
      <c r="A7" s="346" t="s">
        <v>21</v>
      </c>
      <c r="B7" s="351">
        <f t="shared" si="0"/>
        <v>17580.525458695371</v>
      </c>
      <c r="C7" s="348">
        <f t="shared" si="1"/>
        <v>17260.129060718584</v>
      </c>
      <c r="D7" s="349">
        <f t="shared" si="2"/>
        <v>320.39639797678564</v>
      </c>
      <c r="E7" s="467"/>
      <c r="F7" s="346" t="s">
        <v>21</v>
      </c>
      <c r="G7" s="348">
        <f t="shared" si="3"/>
        <v>17260.129060718584</v>
      </c>
      <c r="H7" s="351">
        <f>'ANNEXE 1 Grille'!B5*$I$26/2</f>
        <v>15282.743686874457</v>
      </c>
      <c r="I7" s="557">
        <f t="shared" si="4"/>
        <v>1977.3853738441283</v>
      </c>
    </row>
    <row r="8" spans="1:12" x14ac:dyDescent="0.25">
      <c r="A8" s="346" t="s">
        <v>22</v>
      </c>
      <c r="B8" s="351">
        <f t="shared" si="0"/>
        <v>9699.2831423967946</v>
      </c>
      <c r="C8" s="348">
        <f t="shared" si="1"/>
        <v>9378.8867444200096</v>
      </c>
      <c r="D8" s="349">
        <f t="shared" si="2"/>
        <v>320.39639797678564</v>
      </c>
      <c r="E8" s="467"/>
      <c r="F8" s="346" t="s">
        <v>22</v>
      </c>
      <c r="G8" s="348">
        <f t="shared" si="3"/>
        <v>9378.8867444200096</v>
      </c>
      <c r="H8" s="351">
        <f>'ANNEXE 1 Grille'!B6*$I$26/2</f>
        <v>7401.501370575882</v>
      </c>
      <c r="I8" s="557">
        <f t="shared" si="4"/>
        <v>1977.3853738441283</v>
      </c>
    </row>
    <row r="9" spans="1:12" x14ac:dyDescent="0.25">
      <c r="A9" s="346" t="s">
        <v>23</v>
      </c>
      <c r="B9" s="351">
        <f t="shared" si="0"/>
        <v>2720.3197095194196</v>
      </c>
      <c r="C9" s="348">
        <f t="shared" si="1"/>
        <v>2399.9233115426341</v>
      </c>
      <c r="D9" s="349">
        <f t="shared" si="2"/>
        <v>320.39639797678564</v>
      </c>
      <c r="E9" s="467"/>
      <c r="F9" s="346" t="s">
        <v>23</v>
      </c>
      <c r="G9" s="348">
        <f t="shared" si="3"/>
        <v>2399.9233115426341</v>
      </c>
      <c r="H9" s="351">
        <f>'ANNEXE 1 Grille'!B7*$I$26/2</f>
        <v>422.53793769850563</v>
      </c>
      <c r="I9" s="557">
        <f t="shared" si="4"/>
        <v>1977.3853738441283</v>
      </c>
    </row>
    <row r="10" spans="1:12" x14ac:dyDescent="0.25">
      <c r="A10" s="346" t="s">
        <v>24</v>
      </c>
      <c r="B10" s="351">
        <f t="shared" si="0"/>
        <v>0</v>
      </c>
      <c r="C10" s="348">
        <f t="shared" si="1"/>
        <v>0</v>
      </c>
      <c r="D10" s="349">
        <f t="shared" si="2"/>
        <v>0</v>
      </c>
      <c r="E10" s="467"/>
      <c r="F10" s="346" t="s">
        <v>24</v>
      </c>
      <c r="G10" s="348">
        <f t="shared" si="3"/>
        <v>0</v>
      </c>
      <c r="H10" s="351"/>
      <c r="I10" s="557">
        <f t="shared" si="4"/>
        <v>0</v>
      </c>
    </row>
    <row r="11" spans="1:12" x14ac:dyDescent="0.25">
      <c r="A11" s="346" t="s">
        <v>25</v>
      </c>
      <c r="B11" s="351">
        <f t="shared" si="0"/>
        <v>0</v>
      </c>
      <c r="C11" s="348">
        <f t="shared" si="1"/>
        <v>0</v>
      </c>
      <c r="D11" s="349">
        <f t="shared" si="2"/>
        <v>0</v>
      </c>
      <c r="E11" s="467"/>
      <c r="F11" s="346" t="s">
        <v>25</v>
      </c>
      <c r="G11" s="348">
        <f t="shared" si="3"/>
        <v>0</v>
      </c>
      <c r="H11" s="351"/>
      <c r="I11" s="557">
        <f t="shared" si="4"/>
        <v>0</v>
      </c>
    </row>
    <row r="12" spans="1:12" x14ac:dyDescent="0.25">
      <c r="A12" s="346" t="s">
        <v>26</v>
      </c>
      <c r="B12" s="351">
        <f t="shared" si="0"/>
        <v>16739.938219999942</v>
      </c>
      <c r="C12" s="348">
        <f t="shared" si="1"/>
        <v>16419.541822023155</v>
      </c>
      <c r="D12" s="349">
        <f t="shared" si="2"/>
        <v>320.39639797678564</v>
      </c>
      <c r="E12" s="467"/>
      <c r="F12" s="346" t="s">
        <v>26</v>
      </c>
      <c r="G12" s="348">
        <f t="shared" si="3"/>
        <v>16419.541822023155</v>
      </c>
      <c r="H12" s="351">
        <f>'ANNEXE 1 Grille'!B10*$I$26/2</f>
        <v>14442.156448179028</v>
      </c>
      <c r="I12" s="557">
        <f t="shared" si="4"/>
        <v>1977.3853738441283</v>
      </c>
    </row>
    <row r="13" spans="1:12" x14ac:dyDescent="0.25">
      <c r="A13" s="346" t="s">
        <v>27</v>
      </c>
      <c r="B13" s="351">
        <f t="shared" si="0"/>
        <v>9774.3740921442204</v>
      </c>
      <c r="C13" s="348">
        <f t="shared" si="1"/>
        <v>9453.9776941674354</v>
      </c>
      <c r="D13" s="349">
        <f t="shared" si="2"/>
        <v>320.39639797678564</v>
      </c>
      <c r="E13" s="467"/>
      <c r="F13" s="346" t="s">
        <v>27</v>
      </c>
      <c r="G13" s="348">
        <f t="shared" si="3"/>
        <v>9453.9776941674354</v>
      </c>
      <c r="H13" s="351">
        <f>'ANNEXE 1 Grille'!B11*$I$26/2</f>
        <v>7476.5923203233069</v>
      </c>
      <c r="I13" s="557">
        <f t="shared" si="4"/>
        <v>1977.3853738441283</v>
      </c>
    </row>
    <row r="14" spans="1:12" x14ac:dyDescent="0.25">
      <c r="A14" s="346" t="s">
        <v>28</v>
      </c>
      <c r="B14" s="351">
        <f t="shared" si="0"/>
        <v>8903.0502847257139</v>
      </c>
      <c r="C14" s="348">
        <f t="shared" si="1"/>
        <v>8582.6538867489289</v>
      </c>
      <c r="D14" s="349">
        <f t="shared" si="2"/>
        <v>320.39639797678564</v>
      </c>
      <c r="E14" s="467"/>
      <c r="F14" s="346" t="s">
        <v>28</v>
      </c>
      <c r="G14" s="348">
        <f t="shared" si="3"/>
        <v>8582.6538867489289</v>
      </c>
      <c r="H14" s="351">
        <f>'ANNEXE 1 Grille'!B12*$I$26/2</f>
        <v>6605.2685129048004</v>
      </c>
      <c r="I14" s="557">
        <f t="shared" si="4"/>
        <v>1977.3853738441283</v>
      </c>
    </row>
    <row r="15" spans="1:12" x14ac:dyDescent="0.25">
      <c r="A15" s="346" t="s">
        <v>29</v>
      </c>
      <c r="B15" s="351">
        <f t="shared" si="0"/>
        <v>0</v>
      </c>
      <c r="C15" s="348">
        <f t="shared" si="1"/>
        <v>0</v>
      </c>
      <c r="D15" s="349">
        <f t="shared" si="2"/>
        <v>0</v>
      </c>
      <c r="E15" s="467"/>
      <c r="F15" s="346" t="s">
        <v>29</v>
      </c>
      <c r="G15" s="348">
        <f t="shared" si="3"/>
        <v>0</v>
      </c>
      <c r="H15" s="351"/>
      <c r="I15" s="557">
        <f t="shared" si="4"/>
        <v>0</v>
      </c>
    </row>
    <row r="16" spans="1:12" x14ac:dyDescent="0.25">
      <c r="A16" s="346" t="s">
        <v>30</v>
      </c>
      <c r="B16" s="351">
        <f t="shared" si="0"/>
        <v>6151.3089413697708</v>
      </c>
      <c r="C16" s="348">
        <f t="shared" si="1"/>
        <v>5830.9125433929848</v>
      </c>
      <c r="D16" s="349">
        <f t="shared" si="2"/>
        <v>320.39639797678564</v>
      </c>
      <c r="E16" s="467"/>
      <c r="F16" s="346" t="s">
        <v>30</v>
      </c>
      <c r="G16" s="348">
        <f t="shared" si="3"/>
        <v>5830.9125433929848</v>
      </c>
      <c r="H16" s="351">
        <f>'ANNEXE 1 Grille'!B14*$I$26/2</f>
        <v>3853.5271695488564</v>
      </c>
      <c r="I16" s="557">
        <f t="shared" si="4"/>
        <v>1977.3853738441283</v>
      </c>
    </row>
    <row r="17" spans="1:12" x14ac:dyDescent="0.25">
      <c r="A17" s="346" t="s">
        <v>31</v>
      </c>
      <c r="B17" s="351">
        <f t="shared" si="0"/>
        <v>10536.94314205429</v>
      </c>
      <c r="C17" s="348">
        <f t="shared" si="1"/>
        <v>10216.546744077505</v>
      </c>
      <c r="D17" s="349">
        <f t="shared" si="2"/>
        <v>320.39639797678564</v>
      </c>
      <c r="E17" s="467"/>
      <c r="F17" s="346" t="s">
        <v>31</v>
      </c>
      <c r="G17" s="348">
        <f t="shared" si="3"/>
        <v>10216.546744077505</v>
      </c>
      <c r="H17" s="351">
        <f>'ANNEXE 1 Grille'!B15*$I$26/2</f>
        <v>8239.1613702333761</v>
      </c>
      <c r="I17" s="557">
        <f t="shared" si="4"/>
        <v>1977.3853738441283</v>
      </c>
    </row>
    <row r="18" spans="1:12" x14ac:dyDescent="0.25">
      <c r="A18" s="346" t="s">
        <v>32</v>
      </c>
      <c r="B18" s="351">
        <f t="shared" si="0"/>
        <v>4029.2946294143808</v>
      </c>
      <c r="C18" s="348">
        <f t="shared" si="1"/>
        <v>3708.8982314375953</v>
      </c>
      <c r="D18" s="349">
        <f t="shared" si="2"/>
        <v>320.39639797678564</v>
      </c>
      <c r="E18" s="467"/>
      <c r="F18" s="346" t="s">
        <v>32</v>
      </c>
      <c r="G18" s="348">
        <f t="shared" si="3"/>
        <v>3708.8982314375953</v>
      </c>
      <c r="H18" s="351">
        <f>'ANNEXE 1 Grille'!B16*$I$26/2</f>
        <v>1731.5128575934673</v>
      </c>
      <c r="I18" s="557">
        <f t="shared" si="4"/>
        <v>1977.3853738441283</v>
      </c>
    </row>
    <row r="19" spans="1:12" x14ac:dyDescent="0.25">
      <c r="A19" s="346" t="s">
        <v>33</v>
      </c>
      <c r="B19" s="351">
        <f t="shared" si="0"/>
        <v>5429.1024355139552</v>
      </c>
      <c r="C19" s="348">
        <f t="shared" si="1"/>
        <v>5108.7060375371693</v>
      </c>
      <c r="D19" s="349">
        <f t="shared" si="2"/>
        <v>320.39639797678564</v>
      </c>
      <c r="E19" s="467"/>
      <c r="F19" s="346" t="s">
        <v>33</v>
      </c>
      <c r="G19" s="348">
        <f t="shared" si="3"/>
        <v>5108.7060375371693</v>
      </c>
      <c r="H19" s="351">
        <f>'ANNEXE 1 Grille'!B17*$I$26/2</f>
        <v>3131.3206636930408</v>
      </c>
      <c r="I19" s="557">
        <f t="shared" si="4"/>
        <v>1977.3853738441283</v>
      </c>
    </row>
    <row r="20" spans="1:12" x14ac:dyDescent="0.25">
      <c r="A20" s="346" t="s">
        <v>34</v>
      </c>
      <c r="B20" s="351">
        <f t="shared" si="0"/>
        <v>4214.4413264182022</v>
      </c>
      <c r="C20" s="348">
        <f t="shared" si="1"/>
        <v>3894.0449284414162</v>
      </c>
      <c r="D20" s="349">
        <f t="shared" si="2"/>
        <v>320.39639797678564</v>
      </c>
      <c r="E20" s="467"/>
      <c r="F20" s="346" t="s">
        <v>34</v>
      </c>
      <c r="G20" s="348">
        <f t="shared" si="3"/>
        <v>3894.0449284414162</v>
      </c>
      <c r="H20" s="351">
        <f>'ANNEXE 1 Grille'!B18*$I$26/2</f>
        <v>1916.659554597288</v>
      </c>
      <c r="I20" s="557">
        <f t="shared" si="4"/>
        <v>1977.3853738441283</v>
      </c>
    </row>
    <row r="21" spans="1:12" x14ac:dyDescent="0.25">
      <c r="A21" s="346" t="s">
        <v>35</v>
      </c>
      <c r="B21" s="351">
        <f t="shared" si="0"/>
        <v>0</v>
      </c>
      <c r="C21" s="348">
        <f t="shared" si="1"/>
        <v>0</v>
      </c>
      <c r="D21" s="349">
        <f t="shared" si="2"/>
        <v>0</v>
      </c>
      <c r="E21" s="467"/>
      <c r="F21" s="346" t="s">
        <v>35</v>
      </c>
      <c r="G21" s="348">
        <f t="shared" si="3"/>
        <v>0</v>
      </c>
      <c r="H21" s="351"/>
      <c r="I21" s="557">
        <f>IF(H21&lt;&gt;0,K$27/D$29,H21)</f>
        <v>0</v>
      </c>
    </row>
    <row r="22" spans="1:12" x14ac:dyDescent="0.25">
      <c r="A22" s="346" t="s">
        <v>36</v>
      </c>
      <c r="B22" s="351">
        <f t="shared" si="0"/>
        <v>0</v>
      </c>
      <c r="C22" s="348">
        <f t="shared" si="1"/>
        <v>0</v>
      </c>
      <c r="D22" s="349">
        <f t="shared" si="2"/>
        <v>0</v>
      </c>
      <c r="E22" s="467"/>
      <c r="F22" s="346" t="s">
        <v>36</v>
      </c>
      <c r="G22" s="348">
        <f t="shared" si="3"/>
        <v>0</v>
      </c>
      <c r="H22" s="351"/>
      <c r="I22" s="557">
        <f>IF(H22&lt;&gt;0,K$27/D$29,H22)</f>
        <v>0</v>
      </c>
    </row>
    <row r="23" spans="1:12" x14ac:dyDescent="0.25">
      <c r="A23" s="346" t="s">
        <v>37</v>
      </c>
      <c r="B23" s="351">
        <f t="shared" si="0"/>
        <v>0</v>
      </c>
      <c r="C23" s="348">
        <f t="shared" si="1"/>
        <v>0</v>
      </c>
      <c r="D23" s="349">
        <f t="shared" si="2"/>
        <v>0</v>
      </c>
      <c r="E23" s="467"/>
      <c r="F23" s="346" t="s">
        <v>37</v>
      </c>
      <c r="G23" s="348">
        <f t="shared" si="3"/>
        <v>0</v>
      </c>
      <c r="H23" s="351"/>
      <c r="I23" s="557">
        <f>IF(H23&lt;&gt;0,K$27/D$29,H23)</f>
        <v>0</v>
      </c>
    </row>
    <row r="24" spans="1:12" x14ac:dyDescent="0.25">
      <c r="A24" s="346" t="s">
        <v>39</v>
      </c>
      <c r="B24" s="351">
        <f t="shared" si="0"/>
        <v>0</v>
      </c>
      <c r="C24" s="348">
        <f t="shared" si="1"/>
        <v>0</v>
      </c>
      <c r="D24" s="349">
        <f t="shared" si="2"/>
        <v>0</v>
      </c>
      <c r="E24" s="467"/>
      <c r="F24" s="346" t="s">
        <v>39</v>
      </c>
      <c r="G24" s="348">
        <f t="shared" si="3"/>
        <v>0</v>
      </c>
      <c r="H24" s="351"/>
      <c r="I24" s="557"/>
    </row>
    <row r="25" spans="1:12" x14ac:dyDescent="0.25">
      <c r="A25" s="346" t="s">
        <v>5</v>
      </c>
      <c r="B25" s="351">
        <f t="shared" si="0"/>
        <v>101846.2253895857</v>
      </c>
      <c r="C25" s="348">
        <f t="shared" si="1"/>
        <v>101846.2253895857</v>
      </c>
      <c r="D25" s="466"/>
      <c r="E25" s="467"/>
      <c r="F25" s="346" t="s">
        <v>5</v>
      </c>
      <c r="G25" s="615">
        <f>I26/2</f>
        <v>101846.2253895857</v>
      </c>
      <c r="H25" s="351">
        <f>I26/2</f>
        <v>101846.2253895857</v>
      </c>
      <c r="I25" s="557"/>
    </row>
    <row r="26" spans="1:12" ht="45" x14ac:dyDescent="0.25">
      <c r="A26" s="366" t="s">
        <v>50</v>
      </c>
      <c r="B26" s="468">
        <f t="shared" si="0"/>
        <v>207857.6039528696</v>
      </c>
      <c r="C26" s="370">
        <f>SUM(C4:C25)</f>
        <v>203692.4507791714</v>
      </c>
      <c r="D26" s="370">
        <f>SUM(D4:D25)</f>
        <v>4165.1531736982124</v>
      </c>
      <c r="E26" s="469"/>
      <c r="F26" s="366" t="s">
        <v>50</v>
      </c>
      <c r="G26" s="370">
        <f>SUM(G4:G25)</f>
        <v>203692.4507791714</v>
      </c>
      <c r="H26" s="616">
        <f>SUM(H4:I25)</f>
        <v>203692.45077917137</v>
      </c>
      <c r="I26" s="559">
        <f>C32</f>
        <v>203692.4507791714</v>
      </c>
    </row>
    <row r="27" spans="1:12" hidden="1" x14ac:dyDescent="0.25">
      <c r="A27" s="385"/>
      <c r="B27" s="386"/>
      <c r="C27" s="380"/>
      <c r="D27" s="380"/>
      <c r="E27" s="380"/>
      <c r="F27" s="480"/>
      <c r="G27" s="480"/>
      <c r="H27" s="617"/>
      <c r="I27" s="617"/>
      <c r="J27" s="617"/>
      <c r="K27" s="618">
        <f>I26/2-SUM(H4:H24)</f>
        <v>25706.009859973667</v>
      </c>
      <c r="L27" s="619"/>
    </row>
    <row r="28" spans="1:12" x14ac:dyDescent="0.25">
      <c r="A28" s="547" t="s">
        <v>40</v>
      </c>
      <c r="B28" s="548">
        <f>SUM(B4:B25)</f>
        <v>207857.6039528696</v>
      </c>
      <c r="C28" s="548">
        <f>SUM(C4:C25)</f>
        <v>203692.4507791714</v>
      </c>
      <c r="D28" s="548">
        <f>SUM(D4:D25)</f>
        <v>4165.1531736982124</v>
      </c>
      <c r="E28" s="426"/>
      <c r="F28" s="426"/>
      <c r="G28" s="426"/>
      <c r="H28" s="620"/>
      <c r="J28" s="621"/>
    </row>
    <row r="29" spans="1:12" x14ac:dyDescent="0.25">
      <c r="C29" s="622"/>
      <c r="D29" s="622"/>
      <c r="E29" s="622"/>
      <c r="F29" s="622"/>
      <c r="G29" s="622"/>
    </row>
    <row r="30" spans="1:12" ht="15" customHeight="1" x14ac:dyDescent="0.25">
      <c r="A30" s="741" t="s">
        <v>255</v>
      </c>
      <c r="B30" s="741"/>
      <c r="C30" s="623">
        <f>SUBTOTAL(3,H4:H23)</f>
        <v>13</v>
      </c>
    </row>
    <row r="31" spans="1:12" ht="15" customHeight="1" x14ac:dyDescent="0.25">
      <c r="A31" s="725" t="s">
        <v>209</v>
      </c>
      <c r="B31" s="725"/>
      <c r="C31" s="725"/>
    </row>
    <row r="32" spans="1:12" x14ac:dyDescent="0.25">
      <c r="A32" s="768" t="s">
        <v>447</v>
      </c>
      <c r="B32" s="769"/>
      <c r="C32" s="370">
        <f>C34*C36</f>
        <v>203692.4507791714</v>
      </c>
    </row>
    <row r="33" spans="1:3" x14ac:dyDescent="0.25">
      <c r="A33" s="768" t="s">
        <v>439</v>
      </c>
      <c r="B33" s="769"/>
      <c r="C33" s="370">
        <f>C32*1.2</f>
        <v>244430.94093500567</v>
      </c>
    </row>
    <row r="34" spans="1:3" x14ac:dyDescent="0.25">
      <c r="A34" s="768" t="s">
        <v>211</v>
      </c>
      <c r="B34" s="769"/>
      <c r="C34" s="370">
        <v>195518</v>
      </c>
    </row>
    <row r="35" spans="1:3" x14ac:dyDescent="0.25">
      <c r="A35" s="768" t="s">
        <v>212</v>
      </c>
      <c r="B35" s="769"/>
      <c r="C35" s="370">
        <f>C34*1.2</f>
        <v>234621.6</v>
      </c>
    </row>
    <row r="36" spans="1:3" x14ac:dyDescent="0.25">
      <c r="A36" s="768" t="s">
        <v>441</v>
      </c>
      <c r="B36" s="769"/>
      <c r="C36" s="624">
        <f>2741/2631</f>
        <v>1.0418091980235651</v>
      </c>
    </row>
    <row r="37" spans="1:3" x14ac:dyDescent="0.25">
      <c r="A37" s="426"/>
      <c r="B37" s="426"/>
      <c r="C37" s="426"/>
    </row>
    <row r="38" spans="1:3" x14ac:dyDescent="0.25">
      <c r="A38" s="727" t="s">
        <v>257</v>
      </c>
      <c r="B38" s="727"/>
      <c r="C38" s="727"/>
    </row>
    <row r="39" spans="1:3" x14ac:dyDescent="0.25">
      <c r="A39" s="764" t="s">
        <v>450</v>
      </c>
      <c r="B39" s="765"/>
      <c r="C39" s="370">
        <f>C40*C36</f>
        <v>4165.1531736982133</v>
      </c>
    </row>
    <row r="40" spans="1:3" x14ac:dyDescent="0.25">
      <c r="A40" s="764" t="s">
        <v>403</v>
      </c>
      <c r="B40" s="765"/>
      <c r="C40" s="370">
        <v>3998</v>
      </c>
    </row>
  </sheetData>
  <mergeCells count="15">
    <mergeCell ref="A40:B40"/>
    <mergeCell ref="A39:B39"/>
    <mergeCell ref="G2:I2"/>
    <mergeCell ref="A30:B30"/>
    <mergeCell ref="A31:C31"/>
    <mergeCell ref="A38:C38"/>
    <mergeCell ref="A1:A3"/>
    <mergeCell ref="B1:D1"/>
    <mergeCell ref="F1:F3"/>
    <mergeCell ref="B2:D2"/>
    <mergeCell ref="A34:B34"/>
    <mergeCell ref="A35:B35"/>
    <mergeCell ref="A36:B36"/>
    <mergeCell ref="A32:B32"/>
    <mergeCell ref="A33:B3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R35"/>
  <sheetViews>
    <sheetView workbookViewId="0">
      <pane xSplit="1" ySplit="3" topLeftCell="B23" activePane="bottomRight" state="frozen"/>
      <selection pane="topRight" activeCell="B1" sqref="B1"/>
      <selection pane="bottomLeft" activeCell="A4" sqref="A4"/>
      <selection pane="bottomRight" activeCell="F26" sqref="F26"/>
    </sheetView>
  </sheetViews>
  <sheetFormatPr baseColWidth="10" defaultColWidth="9.140625" defaultRowHeight="15" x14ac:dyDescent="0.25"/>
  <cols>
    <col min="1" max="1" width="9.140625" style="336"/>
    <col min="2" max="2" width="11.85546875" style="336" bestFit="1" customWidth="1"/>
    <col min="3" max="3" width="9.85546875" style="336" bestFit="1" customWidth="1"/>
    <col min="4" max="4" width="8.7109375" style="336" bestFit="1" customWidth="1"/>
    <col min="5" max="6" width="9.140625" style="336"/>
    <col min="7" max="7" width="9.85546875" style="336" bestFit="1" customWidth="1"/>
    <col min="8" max="8" width="8.7109375" style="336" bestFit="1" customWidth="1"/>
    <col min="9" max="16384" width="9.140625" style="207"/>
  </cols>
  <sheetData>
    <row r="1" spans="1:10" ht="15" customHeight="1" x14ac:dyDescent="0.25">
      <c r="A1" s="722" t="s">
        <v>53</v>
      </c>
      <c r="B1" s="770" t="s">
        <v>346</v>
      </c>
      <c r="C1" s="770"/>
      <c r="D1" s="770"/>
      <c r="E1" s="625"/>
      <c r="F1" s="771" t="s">
        <v>347</v>
      </c>
      <c r="G1" s="771"/>
      <c r="H1" s="771"/>
      <c r="I1" s="330"/>
      <c r="J1" s="331"/>
    </row>
    <row r="2" spans="1:10" ht="15" customHeight="1" x14ac:dyDescent="0.25">
      <c r="A2" s="722"/>
      <c r="B2" s="761">
        <v>2020</v>
      </c>
      <c r="C2" s="761"/>
      <c r="D2" s="761"/>
      <c r="E2" s="626"/>
      <c r="F2" s="761">
        <v>2020</v>
      </c>
      <c r="G2" s="761"/>
      <c r="H2" s="761"/>
    </row>
    <row r="3" spans="1:10" ht="45" customHeight="1" x14ac:dyDescent="0.25">
      <c r="A3" s="722"/>
      <c r="B3" s="573" t="s">
        <v>200</v>
      </c>
      <c r="C3" s="574" t="s">
        <v>201</v>
      </c>
      <c r="D3" s="575" t="s">
        <v>202</v>
      </c>
      <c r="E3" s="627"/>
      <c r="F3" s="573" t="s">
        <v>200</v>
      </c>
      <c r="G3" s="628" t="s">
        <v>201</v>
      </c>
      <c r="H3" s="575" t="s">
        <v>202</v>
      </c>
    </row>
    <row r="4" spans="1:10" x14ac:dyDescent="0.25">
      <c r="A4" s="346" t="s">
        <v>18</v>
      </c>
      <c r="B4" s="555">
        <f t="shared" ref="B4:B25" si="0">C4+D4</f>
        <v>1854.7664097364554</v>
      </c>
      <c r="C4" s="556">
        <f>'ANNEXE 1 Grille'!B2*($D$31-$C$25-$C$24)</f>
        <v>1423.3707518023473</v>
      </c>
      <c r="D4" s="557">
        <f t="shared" ref="D4:D22" si="1">IF(C4&lt;&gt;0,$D$27/$D$29,C4)</f>
        <v>431.39565793410827</v>
      </c>
      <c r="E4" s="629"/>
      <c r="F4" s="555">
        <f t="shared" ref="F4:F25" si="2">G4+H4</f>
        <v>1433.228589341807</v>
      </c>
      <c r="G4" s="630">
        <f>'ANNEXE 1 Grille'!B2*$H$31*60/100</f>
        <v>1099.877399119996</v>
      </c>
      <c r="H4" s="557">
        <f t="shared" ref="H4:H23" si="3">IF(G4&lt;&gt;0,$H$27/$H$29,G4)</f>
        <v>333.35119022181101</v>
      </c>
    </row>
    <row r="5" spans="1:10" x14ac:dyDescent="0.25">
      <c r="A5" s="346" t="s">
        <v>19</v>
      </c>
      <c r="B5" s="555">
        <f t="shared" si="0"/>
        <v>0</v>
      </c>
      <c r="C5" s="556"/>
      <c r="D5" s="557">
        <f t="shared" si="1"/>
        <v>0</v>
      </c>
      <c r="E5" s="629"/>
      <c r="F5" s="555">
        <f t="shared" si="2"/>
        <v>0</v>
      </c>
      <c r="G5" s="630"/>
      <c r="H5" s="557">
        <f t="shared" si="3"/>
        <v>0</v>
      </c>
    </row>
    <row r="6" spans="1:10" x14ac:dyDescent="0.25">
      <c r="A6" s="346" t="s">
        <v>20</v>
      </c>
      <c r="B6" s="555">
        <f t="shared" si="0"/>
        <v>885.27033962255268</v>
      </c>
      <c r="C6" s="556">
        <f>'ANNEXE 1 Grille'!B4*($D$31-$C$25-$C$24)</f>
        <v>453.87468168844447</v>
      </c>
      <c r="D6" s="631">
        <f t="shared" si="1"/>
        <v>431.39565793410827</v>
      </c>
      <c r="E6" s="629"/>
      <c r="F6" s="555">
        <f t="shared" si="2"/>
        <v>684.07253516288188</v>
      </c>
      <c r="G6" s="630">
        <f>'ANNEXE 1 Grille'!B4*$H$31*60/100</f>
        <v>350.72134494107081</v>
      </c>
      <c r="H6" s="557">
        <f t="shared" si="3"/>
        <v>333.35119022181101</v>
      </c>
    </row>
    <row r="7" spans="1:10" x14ac:dyDescent="0.25">
      <c r="A7" s="346" t="s">
        <v>21</v>
      </c>
      <c r="B7" s="555">
        <f t="shared" si="0"/>
        <v>5520.6757273474059</v>
      </c>
      <c r="C7" s="556">
        <f>'ANNEXE 1 Grille'!B5*($D$31-$C$25-$C$24)</f>
        <v>5089.2800694132975</v>
      </c>
      <c r="D7" s="557">
        <f t="shared" si="1"/>
        <v>431.39565793410827</v>
      </c>
      <c r="E7" s="629"/>
      <c r="F7" s="555">
        <f t="shared" si="2"/>
        <v>4265.9766984048147</v>
      </c>
      <c r="G7" s="630">
        <f>'ANNEXE 1 Grille'!B5*$H$31*60/100</f>
        <v>3932.6255081830036</v>
      </c>
      <c r="H7" s="557">
        <f t="shared" si="3"/>
        <v>333.35119022181101</v>
      </c>
    </row>
    <row r="8" spans="1:10" x14ac:dyDescent="0.25">
      <c r="A8" s="346" t="s">
        <v>22</v>
      </c>
      <c r="B8" s="555">
        <f t="shared" si="0"/>
        <v>2896.1568409249853</v>
      </c>
      <c r="C8" s="556">
        <f>'ANNEXE 1 Grille'!B6*($D$31-$C$25-$C$24)</f>
        <v>2464.7611829908769</v>
      </c>
      <c r="D8" s="557">
        <f t="shared" si="1"/>
        <v>431.39565793410827</v>
      </c>
      <c r="E8" s="629"/>
      <c r="F8" s="555">
        <f t="shared" si="2"/>
        <v>2237.9393770783981</v>
      </c>
      <c r="G8" s="630">
        <f>'ANNEXE 1 Grille'!B6*$H$31*60/100</f>
        <v>1904.5881868565871</v>
      </c>
      <c r="H8" s="557">
        <f t="shared" si="3"/>
        <v>333.35119022181101</v>
      </c>
    </row>
    <row r="9" spans="1:10" x14ac:dyDescent="0.25">
      <c r="A9" s="346" t="s">
        <v>23</v>
      </c>
      <c r="B9" s="555">
        <f t="shared" si="0"/>
        <v>572.10428649972891</v>
      </c>
      <c r="C9" s="556">
        <f>'ANNEXE 1 Grille'!B7*($D$31-$C$25-$C$24)</f>
        <v>140.70862856562067</v>
      </c>
      <c r="D9" s="557">
        <f t="shared" si="1"/>
        <v>431.39565793410827</v>
      </c>
      <c r="E9" s="629"/>
      <c r="F9" s="555">
        <f t="shared" si="2"/>
        <v>442.08058502251788</v>
      </c>
      <c r="G9" s="630">
        <f>'ANNEXE 1 Grille'!B7*$H$31*60/100</f>
        <v>108.7293948007069</v>
      </c>
      <c r="H9" s="557">
        <f t="shared" si="3"/>
        <v>333.35119022181101</v>
      </c>
    </row>
    <row r="10" spans="1:10" x14ac:dyDescent="0.25">
      <c r="A10" s="346" t="s">
        <v>24</v>
      </c>
      <c r="B10" s="555">
        <f t="shared" si="0"/>
        <v>0</v>
      </c>
      <c r="C10" s="556"/>
      <c r="D10" s="557">
        <f t="shared" si="1"/>
        <v>0</v>
      </c>
      <c r="E10" s="629"/>
      <c r="F10" s="555">
        <f t="shared" si="2"/>
        <v>0</v>
      </c>
      <c r="G10" s="630"/>
      <c r="H10" s="557">
        <f t="shared" si="3"/>
        <v>0</v>
      </c>
    </row>
    <row r="11" spans="1:10" x14ac:dyDescent="0.25">
      <c r="A11" s="346" t="s">
        <v>25</v>
      </c>
      <c r="B11" s="555">
        <f t="shared" si="0"/>
        <v>0</v>
      </c>
      <c r="C11" s="556"/>
      <c r="D11" s="557">
        <f t="shared" si="1"/>
        <v>0</v>
      </c>
      <c r="E11" s="629"/>
      <c r="F11" s="555">
        <f t="shared" si="2"/>
        <v>0</v>
      </c>
      <c r="G11" s="630"/>
      <c r="H11" s="557">
        <f t="shared" si="3"/>
        <v>0</v>
      </c>
    </row>
    <row r="12" spans="1:10" x14ac:dyDescent="0.25">
      <c r="A12" s="346" t="s">
        <v>26</v>
      </c>
      <c r="B12" s="555">
        <f t="shared" si="0"/>
        <v>5240.7532233686252</v>
      </c>
      <c r="C12" s="556">
        <f>'ANNEXE 1 Grille'!B10*($D$31-$C$25-$C$24)</f>
        <v>4809.3575654345168</v>
      </c>
      <c r="D12" s="557">
        <f t="shared" si="1"/>
        <v>431.39565793410827</v>
      </c>
      <c r="E12" s="629"/>
      <c r="F12" s="555">
        <f t="shared" si="2"/>
        <v>4049.6729453303028</v>
      </c>
      <c r="G12" s="630">
        <f>'ANNEXE 1 Grille'!B10*$H$31*60/100</f>
        <v>3716.3217551084917</v>
      </c>
      <c r="H12" s="557">
        <f t="shared" si="3"/>
        <v>333.35119022181101</v>
      </c>
    </row>
    <row r="13" spans="1:10" x14ac:dyDescent="0.25">
      <c r="A13" s="346" t="s">
        <v>27</v>
      </c>
      <c r="B13" s="555">
        <f t="shared" si="0"/>
        <v>2921.162748357111</v>
      </c>
      <c r="C13" s="556">
        <f>'ANNEXE 1 Grille'!B11*($D$31-$C$25-$C$24)</f>
        <v>2489.7670904230026</v>
      </c>
      <c r="D13" s="557">
        <f t="shared" si="1"/>
        <v>431.39565793410827</v>
      </c>
      <c r="E13" s="629"/>
      <c r="F13" s="555">
        <f t="shared" si="2"/>
        <v>2257.2621237304952</v>
      </c>
      <c r="G13" s="630">
        <f>'ANNEXE 1 Grille'!B11*$H$31*60/100</f>
        <v>1923.9109335086841</v>
      </c>
      <c r="H13" s="557">
        <f t="shared" si="3"/>
        <v>333.35119022181101</v>
      </c>
    </row>
    <row r="14" spans="1:10" x14ac:dyDescent="0.25">
      <c r="A14" s="346" t="s">
        <v>28</v>
      </c>
      <c r="B14" s="555">
        <f t="shared" si="0"/>
        <v>2631.0047127349603</v>
      </c>
      <c r="C14" s="556">
        <f>'ANNEXE 1 Grille'!B12*($D$31-$C$25-$C$24)</f>
        <v>2199.6090548008519</v>
      </c>
      <c r="D14" s="557">
        <f t="shared" si="1"/>
        <v>431.39565793410827</v>
      </c>
      <c r="E14" s="629"/>
      <c r="F14" s="555">
        <f t="shared" si="2"/>
        <v>2033.0490962042879</v>
      </c>
      <c r="G14" s="630">
        <f>'ANNEXE 1 Grille'!B12*$H$31*60/100</f>
        <v>1699.6979059824769</v>
      </c>
      <c r="H14" s="557">
        <f t="shared" si="3"/>
        <v>333.35119022181101</v>
      </c>
    </row>
    <row r="15" spans="1:10" x14ac:dyDescent="0.25">
      <c r="A15" s="346" t="s">
        <v>29</v>
      </c>
      <c r="B15" s="555">
        <f t="shared" si="0"/>
        <v>0</v>
      </c>
      <c r="C15" s="556"/>
      <c r="D15" s="557">
        <f t="shared" si="1"/>
        <v>0</v>
      </c>
      <c r="E15" s="629"/>
      <c r="F15" s="555">
        <f t="shared" si="2"/>
        <v>0</v>
      </c>
      <c r="G15" s="630"/>
      <c r="H15" s="557">
        <f t="shared" si="3"/>
        <v>0</v>
      </c>
    </row>
    <row r="16" spans="1:10" x14ac:dyDescent="0.25">
      <c r="A16" s="346" t="s">
        <v>30</v>
      </c>
      <c r="B16" s="555">
        <f t="shared" si="0"/>
        <v>1714.652082483783</v>
      </c>
      <c r="C16" s="556">
        <f>'ANNEXE 1 Grille'!B14*($D$31-$C$25-$C$24)</f>
        <v>1283.2564245496749</v>
      </c>
      <c r="D16" s="557">
        <f t="shared" si="1"/>
        <v>431.39565793410827</v>
      </c>
      <c r="E16" s="629"/>
      <c r="F16" s="555">
        <f t="shared" si="2"/>
        <v>1324.9584273738328</v>
      </c>
      <c r="G16" s="630">
        <f>'ANNEXE 1 Grille'!B14*$H$31*60/100</f>
        <v>991.60723715202175</v>
      </c>
      <c r="H16" s="557">
        <f t="shared" si="3"/>
        <v>333.35119022181101</v>
      </c>
    </row>
    <row r="17" spans="1:18" x14ac:dyDescent="0.25">
      <c r="A17" s="346" t="s">
        <v>31</v>
      </c>
      <c r="B17" s="555">
        <f t="shared" si="0"/>
        <v>3175.1045500894711</v>
      </c>
      <c r="C17" s="556">
        <f>'ANNEXE 1 Grille'!B15*($D$31-$C$25-$C$24)</f>
        <v>2743.7088921553627</v>
      </c>
      <c r="D17" s="557">
        <f t="shared" si="1"/>
        <v>431.39565793410827</v>
      </c>
      <c r="E17" s="629"/>
      <c r="F17" s="555">
        <f t="shared" si="2"/>
        <v>2453.4898796145917</v>
      </c>
      <c r="G17" s="630">
        <f>'ANNEXE 1 Grille'!B15*$H$31*60/100</f>
        <v>2120.1386893927806</v>
      </c>
      <c r="H17" s="557">
        <f t="shared" si="3"/>
        <v>333.35119022181101</v>
      </c>
    </row>
    <row r="18" spans="1:18" x14ac:dyDescent="0.25">
      <c r="A18" s="346" t="s">
        <v>32</v>
      </c>
      <c r="B18" s="555">
        <f t="shared" si="0"/>
        <v>1008.0037629075362</v>
      </c>
      <c r="C18" s="556">
        <f>'ANNEXE 1 Grille'!B16*($D$31-$C$25-$C$24)</f>
        <v>576.60810497342788</v>
      </c>
      <c r="D18" s="557">
        <f t="shared" si="1"/>
        <v>431.39565793410827</v>
      </c>
      <c r="E18" s="629"/>
      <c r="F18" s="555">
        <f t="shared" si="2"/>
        <v>778.91199861036898</v>
      </c>
      <c r="G18" s="630">
        <f>'ANNEXE 1 Grille'!B16*$H$31*60/100</f>
        <v>445.56080838855797</v>
      </c>
      <c r="H18" s="557">
        <f t="shared" si="3"/>
        <v>333.35119022181101</v>
      </c>
    </row>
    <row r="19" spans="1:18" x14ac:dyDescent="0.25">
      <c r="A19" s="346" t="s">
        <v>33</v>
      </c>
      <c r="B19" s="555">
        <f t="shared" si="0"/>
        <v>1474.1513418079239</v>
      </c>
      <c r="C19" s="556">
        <f>'ANNEXE 1 Grille'!B17*($D$31-$C$25-$C$24)</f>
        <v>1042.7556838738155</v>
      </c>
      <c r="D19" s="557">
        <f t="shared" si="1"/>
        <v>431.39565793410827</v>
      </c>
      <c r="E19" s="629"/>
      <c r="F19" s="555">
        <f t="shared" si="2"/>
        <v>1139.1169459424871</v>
      </c>
      <c r="G19" s="630">
        <f>'ANNEXE 1 Grille'!B17*$H$31*60/100</f>
        <v>805.765755720676</v>
      </c>
      <c r="H19" s="557">
        <f t="shared" si="3"/>
        <v>333.35119022181101</v>
      </c>
      <c r="I19" s="332"/>
    </row>
    <row r="20" spans="1:18" x14ac:dyDescent="0.25">
      <c r="A20" s="346" t="s">
        <v>34</v>
      </c>
      <c r="B20" s="555">
        <f t="shared" si="0"/>
        <v>0</v>
      </c>
      <c r="C20" s="556"/>
      <c r="D20" s="557">
        <f t="shared" si="1"/>
        <v>0</v>
      </c>
      <c r="E20" s="629"/>
      <c r="F20" s="555">
        <f t="shared" si="2"/>
        <v>0</v>
      </c>
      <c r="G20" s="630"/>
      <c r="H20" s="557">
        <f t="shared" si="3"/>
        <v>0</v>
      </c>
    </row>
    <row r="21" spans="1:18" x14ac:dyDescent="0.25">
      <c r="A21" s="346" t="s">
        <v>35</v>
      </c>
      <c r="B21" s="555">
        <f t="shared" si="0"/>
        <v>0</v>
      </c>
      <c r="C21" s="556"/>
      <c r="D21" s="557">
        <f t="shared" si="1"/>
        <v>0</v>
      </c>
      <c r="E21" s="629"/>
      <c r="F21" s="555">
        <f t="shared" si="2"/>
        <v>0</v>
      </c>
      <c r="G21" s="630"/>
      <c r="H21" s="557">
        <f t="shared" si="3"/>
        <v>0</v>
      </c>
    </row>
    <row r="22" spans="1:18" x14ac:dyDescent="0.25">
      <c r="A22" s="346" t="s">
        <v>36</v>
      </c>
      <c r="B22" s="555">
        <f t="shared" si="0"/>
        <v>4021.829519676261</v>
      </c>
      <c r="C22" s="556">
        <f>'ANNEXE 1 Grille'!B20*($D$31-$C$25-$C$24)</f>
        <v>3590.4338617421527</v>
      </c>
      <c r="D22" s="557">
        <f t="shared" si="1"/>
        <v>431.39565793410827</v>
      </c>
      <c r="E22" s="629"/>
      <c r="F22" s="555">
        <f t="shared" si="2"/>
        <v>3107.7773561134754</v>
      </c>
      <c r="G22" s="630">
        <f>'ANNEXE 1 Grille'!B20*$H$31*60/100</f>
        <v>2774.4261658916644</v>
      </c>
      <c r="H22" s="557">
        <f t="shared" si="3"/>
        <v>333.35119022181101</v>
      </c>
    </row>
    <row r="23" spans="1:18" x14ac:dyDescent="0.25">
      <c r="A23" s="346" t="s">
        <v>37</v>
      </c>
      <c r="B23" s="555">
        <f t="shared" si="0"/>
        <v>0</v>
      </c>
      <c r="C23" s="556"/>
      <c r="D23" s="557">
        <f>IF(C23&lt;&gt;0,#REF!/D$27,C23)</f>
        <v>0</v>
      </c>
      <c r="E23" s="629"/>
      <c r="F23" s="555">
        <f t="shared" si="2"/>
        <v>0</v>
      </c>
      <c r="G23" s="630"/>
      <c r="H23" s="557">
        <f t="shared" si="3"/>
        <v>0</v>
      </c>
    </row>
    <row r="24" spans="1:18" x14ac:dyDescent="0.25">
      <c r="A24" s="346" t="s">
        <v>39</v>
      </c>
      <c r="B24" s="555">
        <f t="shared" si="0"/>
        <v>0</v>
      </c>
      <c r="C24" s="556">
        <v>0</v>
      </c>
      <c r="D24" s="557"/>
      <c r="E24" s="629"/>
      <c r="F24" s="555">
        <f t="shared" si="2"/>
        <v>0</v>
      </c>
      <c r="G24" s="630"/>
      <c r="H24" s="632"/>
    </row>
    <row r="25" spans="1:18" x14ac:dyDescent="0.25">
      <c r="A25" s="346" t="s">
        <v>5</v>
      </c>
      <c r="B25" s="576">
        <f t="shared" si="0"/>
        <v>22610.423697037866</v>
      </c>
      <c r="C25" s="556">
        <f>D31*40/100</f>
        <v>22610.423697037866</v>
      </c>
      <c r="D25" s="632"/>
      <c r="E25" s="633"/>
      <c r="F25" s="576">
        <f t="shared" si="2"/>
        <v>17471.691038620171</v>
      </c>
      <c r="G25" s="630">
        <f>H31*40/100</f>
        <v>17471.691038620171</v>
      </c>
      <c r="H25" s="632"/>
    </row>
    <row r="26" spans="1:18" ht="45" x14ac:dyDescent="0.25">
      <c r="A26" s="366" t="s">
        <v>159</v>
      </c>
      <c r="B26" s="634">
        <f>SUM(B4:B25)</f>
        <v>56526.059242594667</v>
      </c>
      <c r="C26" s="634">
        <f>SUM(C4:C25)</f>
        <v>50917.915689451256</v>
      </c>
      <c r="D26" s="635">
        <f>SUM(D4:D25)</f>
        <v>5608.1435531434081</v>
      </c>
      <c r="E26" s="636"/>
      <c r="F26" s="542">
        <f>SUM(F4:F25)</f>
        <v>43679.22759655043</v>
      </c>
      <c r="G26" s="577">
        <f>SUM(G4:G25)</f>
        <v>39345.662123666887</v>
      </c>
      <c r="H26" s="559">
        <f>SUM(H4:H25)</f>
        <v>4333.5654728835434</v>
      </c>
    </row>
    <row r="27" spans="1:18" s="333" customFormat="1" ht="14.25" customHeight="1" x14ac:dyDescent="0.2">
      <c r="A27" s="371" t="s">
        <v>40</v>
      </c>
      <c r="B27" s="637">
        <f>D31</f>
        <v>56526.059242594667</v>
      </c>
      <c r="C27" s="638"/>
      <c r="D27" s="639">
        <f>(D31-C25-C24)-SUM(C4:C23)</f>
        <v>5608.1435531434072</v>
      </c>
      <c r="E27" s="640"/>
      <c r="F27" s="641"/>
      <c r="G27" s="641"/>
      <c r="H27" s="642">
        <f>(H31-G25-G24)-SUM(G4:G23)</f>
        <v>4333.5654728835434</v>
      </c>
    </row>
    <row r="28" spans="1:18" x14ac:dyDescent="0.25">
      <c r="A28" s="382"/>
      <c r="B28" s="375"/>
      <c r="C28" s="375"/>
      <c r="D28" s="375"/>
      <c r="F28" s="375"/>
      <c r="G28" s="375"/>
      <c r="H28" s="375"/>
      <c r="I28" s="253"/>
      <c r="J28" s="253"/>
      <c r="L28" s="253"/>
      <c r="M28" s="253"/>
      <c r="N28" s="253"/>
      <c r="O28" s="253"/>
      <c r="P28" s="253"/>
      <c r="R28" s="253"/>
    </row>
    <row r="29" spans="1:18" ht="15" customHeight="1" x14ac:dyDescent="0.25">
      <c r="B29" s="772" t="s">
        <v>255</v>
      </c>
      <c r="C29" s="772"/>
      <c r="D29" s="643">
        <f>SUBTOTAL(3,C4:C23)</f>
        <v>13</v>
      </c>
      <c r="F29" s="772" t="s">
        <v>255</v>
      </c>
      <c r="G29" s="772"/>
      <c r="H29" s="643">
        <f>SUBTOTAL(3,G4:G24)</f>
        <v>13</v>
      </c>
    </row>
    <row r="30" spans="1:18" ht="15" customHeight="1" x14ac:dyDescent="0.25">
      <c r="B30" s="725" t="s">
        <v>209</v>
      </c>
      <c r="C30" s="725"/>
      <c r="D30" s="725"/>
      <c r="F30" s="725" t="s">
        <v>209</v>
      </c>
      <c r="G30" s="725"/>
      <c r="H30" s="725"/>
    </row>
    <row r="31" spans="1:18" ht="15" customHeight="1" x14ac:dyDescent="0.25">
      <c r="B31" s="768" t="s">
        <v>400</v>
      </c>
      <c r="C31" s="768"/>
      <c r="D31" s="370">
        <f>D33*D35</f>
        <v>56526.059242594667</v>
      </c>
      <c r="F31" s="768" t="s">
        <v>400</v>
      </c>
      <c r="G31" s="768"/>
      <c r="H31" s="369">
        <f>H33*H35</f>
        <v>43679.22759655043</v>
      </c>
    </row>
    <row r="32" spans="1:18" ht="15" customHeight="1" x14ac:dyDescent="0.25">
      <c r="B32" s="768" t="s">
        <v>402</v>
      </c>
      <c r="C32" s="768"/>
      <c r="D32" s="370">
        <f>D31*1.2</f>
        <v>67831.271091113595</v>
      </c>
      <c r="F32" s="768" t="s">
        <v>402</v>
      </c>
      <c r="G32" s="768"/>
      <c r="H32" s="369">
        <f>H31*1.2</f>
        <v>52415.073115860512</v>
      </c>
    </row>
    <row r="33" spans="2:8" ht="15" customHeight="1" x14ac:dyDescent="0.25">
      <c r="B33" s="768" t="s">
        <v>211</v>
      </c>
      <c r="C33" s="768"/>
      <c r="D33" s="370">
        <v>55000</v>
      </c>
      <c r="F33" s="768" t="s">
        <v>211</v>
      </c>
      <c r="G33" s="768"/>
      <c r="H33" s="369">
        <v>42500</v>
      </c>
    </row>
    <row r="34" spans="2:8" ht="15" customHeight="1" x14ac:dyDescent="0.25">
      <c r="B34" s="768" t="s">
        <v>212</v>
      </c>
      <c r="C34" s="768"/>
      <c r="D34" s="370">
        <f>D33*1.2</f>
        <v>66000</v>
      </c>
      <c r="F34" s="768" t="s">
        <v>212</v>
      </c>
      <c r="G34" s="768"/>
      <c r="H34" s="369">
        <f>H33*1.2</f>
        <v>51000</v>
      </c>
    </row>
    <row r="35" spans="2:8" ht="15" customHeight="1" x14ac:dyDescent="0.25">
      <c r="B35" s="749" t="s">
        <v>256</v>
      </c>
      <c r="C35" s="749"/>
      <c r="D35" s="624">
        <f>2741/2667</f>
        <v>1.0277465316835395</v>
      </c>
      <c r="F35" s="768" t="s">
        <v>256</v>
      </c>
      <c r="G35" s="768"/>
      <c r="H35" s="644">
        <f>2741/2667</f>
        <v>1.0277465316835395</v>
      </c>
    </row>
  </sheetData>
  <mergeCells count="19">
    <mergeCell ref="B35:C35"/>
    <mergeCell ref="F35:G35"/>
    <mergeCell ref="B32:C32"/>
    <mergeCell ref="F32:G32"/>
    <mergeCell ref="B33:C33"/>
    <mergeCell ref="F33:G33"/>
    <mergeCell ref="B34:C34"/>
    <mergeCell ref="F34:G34"/>
    <mergeCell ref="B29:C29"/>
    <mergeCell ref="F29:G29"/>
    <mergeCell ref="B30:D30"/>
    <mergeCell ref="F30:H30"/>
    <mergeCell ref="B31:C31"/>
    <mergeCell ref="F31:G31"/>
    <mergeCell ref="A1:A3"/>
    <mergeCell ref="B1:D1"/>
    <mergeCell ref="F1:H1"/>
    <mergeCell ref="B2:D2"/>
    <mergeCell ref="F2:H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R31"/>
  <sheetViews>
    <sheetView workbookViewId="0">
      <selection activeCell="O35" sqref="O35"/>
    </sheetView>
  </sheetViews>
  <sheetFormatPr baseColWidth="10" defaultColWidth="9.140625" defaultRowHeight="15" x14ac:dyDescent="0.25"/>
  <cols>
    <col min="1" max="1" width="13" style="336" customWidth="1"/>
    <col min="2" max="2" width="10.42578125" style="336" customWidth="1"/>
    <col min="3" max="3" width="9.42578125" style="336" customWidth="1"/>
    <col min="4" max="4" width="9.140625" style="336" hidden="1" customWidth="1"/>
    <col min="5" max="5" width="9.42578125" style="336" hidden="1" customWidth="1"/>
    <col min="6" max="6" width="14" style="336" customWidth="1"/>
    <col min="7" max="7" width="10" style="336" hidden="1" customWidth="1"/>
    <col min="8" max="8" width="8.85546875" style="336" hidden="1" customWidth="1"/>
    <col min="9" max="9" width="13" style="336" customWidth="1"/>
    <col min="10" max="10" width="9.85546875" style="336" hidden="1" customWidth="1"/>
    <col min="11" max="11" width="13.5703125" style="336" hidden="1" customWidth="1"/>
    <col min="12" max="12" width="9.85546875" style="336" bestFit="1" customWidth="1"/>
    <col min="13" max="14" width="5.42578125" style="336" hidden="1" customWidth="1"/>
    <col min="15" max="15" width="10.42578125" style="336" bestFit="1" customWidth="1"/>
    <col min="16" max="17" width="6.85546875" style="336" hidden="1" customWidth="1"/>
    <col min="18" max="16384" width="9.140625" style="336"/>
  </cols>
  <sheetData>
    <row r="1" spans="1:18" ht="15" customHeight="1" x14ac:dyDescent="0.25">
      <c r="A1" s="549" t="s">
        <v>53</v>
      </c>
      <c r="B1" s="645"/>
      <c r="C1" s="773" t="s">
        <v>58</v>
      </c>
      <c r="D1" s="773"/>
      <c r="E1" s="773"/>
      <c r="F1" s="773" t="s">
        <v>348</v>
      </c>
      <c r="G1" s="773"/>
      <c r="H1" s="773"/>
      <c r="I1" s="773" t="s">
        <v>57</v>
      </c>
      <c r="J1" s="773"/>
      <c r="K1" s="773"/>
      <c r="L1" s="773" t="s">
        <v>60</v>
      </c>
      <c r="M1" s="773"/>
      <c r="N1" s="773"/>
      <c r="O1" s="761" t="s">
        <v>61</v>
      </c>
      <c r="P1" s="761"/>
      <c r="Q1" s="761"/>
    </row>
    <row r="2" spans="1:18" hidden="1" x14ac:dyDescent="0.25">
      <c r="A2" s="346" t="s">
        <v>18</v>
      </c>
      <c r="B2" s="646">
        <f t="shared" ref="B2:B24" si="0">C2+F2+I2+L2+O2</f>
        <v>0</v>
      </c>
      <c r="C2" s="647">
        <f t="shared" ref="C2:C23" si="1">D2+E2</f>
        <v>0</v>
      </c>
      <c r="D2" s="648"/>
      <c r="E2" s="647">
        <f>IF(D2&lt;&gt;0,E$26/#REF!,D2)</f>
        <v>0</v>
      </c>
      <c r="F2" s="647">
        <f t="shared" ref="F2:F23" si="2">G2+H2</f>
        <v>0</v>
      </c>
      <c r="G2" s="648"/>
      <c r="H2" s="647">
        <f>IF(G2&lt;&gt;0,H$26/#REF!,G2)</f>
        <v>0</v>
      </c>
      <c r="I2" s="647">
        <f t="shared" ref="I2:I23" si="3">J2+K2</f>
        <v>0</v>
      </c>
      <c r="J2" s="648"/>
      <c r="K2" s="647">
        <f>IF(J2&lt;&gt;0,K$26/#REF!,J2)</f>
        <v>0</v>
      </c>
      <c r="L2" s="647">
        <f t="shared" ref="L2:L23" si="4">M2+N2</f>
        <v>0</v>
      </c>
      <c r="M2" s="648"/>
      <c r="N2" s="647">
        <f>IF(M2&lt;&gt;0,N$26/#REF!,M2)</f>
        <v>0</v>
      </c>
      <c r="O2" s="647">
        <f t="shared" ref="O2:O23" si="5">P2+Q2</f>
        <v>0</v>
      </c>
      <c r="P2" s="648"/>
      <c r="Q2" s="647">
        <f>IF(P2&lt;&gt;0,Q$26/#REF!,P2)</f>
        <v>0</v>
      </c>
    </row>
    <row r="3" spans="1:18" hidden="1" x14ac:dyDescent="0.25">
      <c r="A3" s="346" t="s">
        <v>19</v>
      </c>
      <c r="B3" s="646">
        <f t="shared" si="0"/>
        <v>0</v>
      </c>
      <c r="C3" s="647">
        <f t="shared" si="1"/>
        <v>0</v>
      </c>
      <c r="D3" s="648"/>
      <c r="E3" s="647">
        <f>IF(D3&lt;&gt;0,E$26/#REF!,D3)</f>
        <v>0</v>
      </c>
      <c r="F3" s="647">
        <f t="shared" si="2"/>
        <v>0</v>
      </c>
      <c r="G3" s="648"/>
      <c r="H3" s="647">
        <f>IF(G3&lt;&gt;0,H$26/#REF!,G3)</f>
        <v>0</v>
      </c>
      <c r="I3" s="647">
        <f t="shared" si="3"/>
        <v>0</v>
      </c>
      <c r="J3" s="648"/>
      <c r="K3" s="647">
        <f>IF(J3&lt;&gt;0,K$26/#REF!,J3)</f>
        <v>0</v>
      </c>
      <c r="L3" s="647">
        <f t="shared" si="4"/>
        <v>0</v>
      </c>
      <c r="M3" s="648"/>
      <c r="N3" s="647">
        <f>IF(M3&lt;&gt;0,N$26/#REF!,M3)</f>
        <v>0</v>
      </c>
      <c r="O3" s="647">
        <f t="shared" si="5"/>
        <v>0</v>
      </c>
      <c r="P3" s="648"/>
      <c r="Q3" s="647">
        <f>IF(P3&lt;&gt;0,Q$26/#REF!,P3)</f>
        <v>0</v>
      </c>
    </row>
    <row r="4" spans="1:18" hidden="1" x14ac:dyDescent="0.25">
      <c r="A4" s="346" t="s">
        <v>145</v>
      </c>
      <c r="B4" s="646">
        <f t="shared" si="0"/>
        <v>0</v>
      </c>
      <c r="C4" s="647">
        <f t="shared" si="1"/>
        <v>0</v>
      </c>
      <c r="D4" s="648"/>
      <c r="E4" s="647">
        <f>IF(D4&lt;&gt;0,E$26/#REF!,D4)</f>
        <v>0</v>
      </c>
      <c r="F4" s="647">
        <f t="shared" si="2"/>
        <v>0</v>
      </c>
      <c r="G4" s="648"/>
      <c r="H4" s="647">
        <f>IF(G4&lt;&gt;0,H$26/#REF!,G4)</f>
        <v>0</v>
      </c>
      <c r="I4" s="647">
        <f t="shared" si="3"/>
        <v>0</v>
      </c>
      <c r="J4" s="648"/>
      <c r="K4" s="647">
        <f>IF(J4&lt;&gt;0,K$26/#REF!,J4)</f>
        <v>0</v>
      </c>
      <c r="L4" s="647">
        <f t="shared" si="4"/>
        <v>0</v>
      </c>
      <c r="M4" s="648"/>
      <c r="N4" s="647">
        <f>IF(M4&lt;&gt;0,N$26/#REF!,M4)</f>
        <v>0</v>
      </c>
      <c r="O4" s="647">
        <f t="shared" si="5"/>
        <v>0</v>
      </c>
      <c r="P4" s="648"/>
      <c r="Q4" s="647">
        <f>IF(P4&lt;&gt;0,Q$26/#REF!,P4)</f>
        <v>0</v>
      </c>
    </row>
    <row r="5" spans="1:18" x14ac:dyDescent="0.25">
      <c r="A5" s="346" t="s">
        <v>21</v>
      </c>
      <c r="B5" s="542">
        <f t="shared" si="0"/>
        <v>1845.4613487988984</v>
      </c>
      <c r="C5" s="557">
        <f t="shared" si="1"/>
        <v>1751.2953378581446</v>
      </c>
      <c r="D5" s="648">
        <f>'ANNEXE 1 Grille'!B5*(D$26-D$23)</f>
        <v>1410.5362285847625</v>
      </c>
      <c r="E5" s="557">
        <f t="shared" ref="E5:E21" si="6">IF(D5&lt;&gt;0,E$26/D$28,D5)</f>
        <v>340.75910927338219</v>
      </c>
      <c r="F5" s="557">
        <f t="shared" si="2"/>
        <v>0</v>
      </c>
      <c r="G5" s="557"/>
      <c r="H5" s="557">
        <f t="shared" ref="H5:H21" si="7">IF(G5&lt;&gt;0,H$26/G$28,G5)</f>
        <v>0</v>
      </c>
      <c r="I5" s="557">
        <f t="shared" si="3"/>
        <v>0</v>
      </c>
      <c r="J5" s="557"/>
      <c r="K5" s="557">
        <f t="shared" ref="K5:K21" si="8">IF(J5&lt;&gt;0,K$26/J$28,J5)</f>
        <v>0</v>
      </c>
      <c r="L5" s="557">
        <f t="shared" si="4"/>
        <v>94.166010940753623</v>
      </c>
      <c r="M5" s="557">
        <f>'ANNEXE 1 Grille'!B5*(M$26-M$23)</f>
        <v>67.52567051735565</v>
      </c>
      <c r="N5" s="557">
        <f t="shared" ref="N5:N21" si="9">IF(M5&lt;&gt;0,N$26/M$28,M5)</f>
        <v>26.640340423397976</v>
      </c>
      <c r="O5" s="557">
        <f t="shared" si="5"/>
        <v>0</v>
      </c>
      <c r="P5" s="557"/>
      <c r="Q5" s="557">
        <f t="shared" ref="Q5:Q21" si="10">IF(P5&lt;&gt;0,Q$26/P$28,P5)</f>
        <v>0</v>
      </c>
      <c r="R5" s="341"/>
    </row>
    <row r="6" spans="1:18" x14ac:dyDescent="0.25">
      <c r="A6" s="346" t="s">
        <v>22</v>
      </c>
      <c r="B6" s="542">
        <f t="shared" si="0"/>
        <v>2069.2864218386871</v>
      </c>
      <c r="C6" s="557">
        <f t="shared" si="1"/>
        <v>1023.8881365620814</v>
      </c>
      <c r="D6" s="648">
        <f>'ANNEXE 1 Grille'!B6*(D$26-D$23)</f>
        <v>683.12902728869915</v>
      </c>
      <c r="E6" s="557">
        <f t="shared" si="6"/>
        <v>340.75910927338219</v>
      </c>
      <c r="F6" s="557">
        <f t="shared" si="2"/>
        <v>200.1004291443129</v>
      </c>
      <c r="G6" s="557">
        <f>'ANNEXE 1 Grille'!B6*(G$26-G$23)</f>
        <v>87.207960930472225</v>
      </c>
      <c r="H6" s="557">
        <f t="shared" si="7"/>
        <v>112.89246821384067</v>
      </c>
      <c r="I6" s="557">
        <f t="shared" si="3"/>
        <v>25.012553643039112</v>
      </c>
      <c r="J6" s="557">
        <f>'ANNEXE 1 Grille'!B6*(J$26-J$23)</f>
        <v>10.900995116309028</v>
      </c>
      <c r="K6" s="557">
        <f t="shared" si="8"/>
        <v>14.111558526730084</v>
      </c>
      <c r="L6" s="557">
        <f t="shared" si="4"/>
        <v>59.343325772325059</v>
      </c>
      <c r="M6" s="557">
        <f>'ANNEXE 1 Grille'!B6*(M$26-M$23)</f>
        <v>32.702985348927086</v>
      </c>
      <c r="N6" s="557">
        <f t="shared" si="9"/>
        <v>26.640340423397976</v>
      </c>
      <c r="O6" s="557">
        <f t="shared" si="5"/>
        <v>760.94197671692871</v>
      </c>
      <c r="P6" s="557">
        <f>'ANNEXE 1 Grille'!B6*(P$26-P$23)</f>
        <v>276.1585429464954</v>
      </c>
      <c r="Q6" s="557">
        <f t="shared" si="10"/>
        <v>484.78343377043331</v>
      </c>
      <c r="R6" s="341"/>
    </row>
    <row r="7" spans="1:18" x14ac:dyDescent="0.25">
      <c r="A7" s="346" t="s">
        <v>23</v>
      </c>
      <c r="B7" s="542">
        <f t="shared" si="0"/>
        <v>379.75767401324043</v>
      </c>
      <c r="C7" s="557">
        <f t="shared" si="1"/>
        <v>379.75767401324043</v>
      </c>
      <c r="D7" s="648">
        <f>'ANNEXE 1 Grille'!B7*(D$26-D$23)</f>
        <v>38.998564739858246</v>
      </c>
      <c r="E7" s="557">
        <f t="shared" si="6"/>
        <v>340.75910927338219</v>
      </c>
      <c r="F7" s="557">
        <f t="shared" si="2"/>
        <v>0</v>
      </c>
      <c r="G7" s="557"/>
      <c r="H7" s="557">
        <f t="shared" si="7"/>
        <v>0</v>
      </c>
      <c r="I7" s="557">
        <f t="shared" si="3"/>
        <v>0</v>
      </c>
      <c r="J7" s="557"/>
      <c r="K7" s="557">
        <f t="shared" si="8"/>
        <v>0</v>
      </c>
      <c r="L7" s="557">
        <f t="shared" si="4"/>
        <v>0</v>
      </c>
      <c r="M7" s="557"/>
      <c r="N7" s="557">
        <f t="shared" si="9"/>
        <v>0</v>
      </c>
      <c r="O7" s="557">
        <f t="shared" si="5"/>
        <v>0</v>
      </c>
      <c r="P7" s="557"/>
      <c r="Q7" s="557">
        <f t="shared" si="10"/>
        <v>0</v>
      </c>
      <c r="R7" s="341"/>
    </row>
    <row r="8" spans="1:18" hidden="1" x14ac:dyDescent="0.25">
      <c r="A8" s="346" t="s">
        <v>24</v>
      </c>
      <c r="B8" s="542">
        <f t="shared" si="0"/>
        <v>0</v>
      </c>
      <c r="C8" s="557">
        <f t="shared" si="1"/>
        <v>0</v>
      </c>
      <c r="D8" s="648"/>
      <c r="E8" s="557">
        <f t="shared" si="6"/>
        <v>0</v>
      </c>
      <c r="F8" s="557">
        <f t="shared" si="2"/>
        <v>0</v>
      </c>
      <c r="G8" s="557"/>
      <c r="H8" s="557">
        <f t="shared" si="7"/>
        <v>0</v>
      </c>
      <c r="I8" s="557">
        <f t="shared" si="3"/>
        <v>0</v>
      </c>
      <c r="J8" s="557"/>
      <c r="K8" s="557">
        <f t="shared" si="8"/>
        <v>0</v>
      </c>
      <c r="L8" s="557">
        <f t="shared" si="4"/>
        <v>0</v>
      </c>
      <c r="M8" s="557"/>
      <c r="N8" s="557">
        <f t="shared" si="9"/>
        <v>0</v>
      </c>
      <c r="O8" s="557">
        <f t="shared" si="5"/>
        <v>0</v>
      </c>
      <c r="P8" s="557"/>
      <c r="Q8" s="557">
        <f t="shared" si="10"/>
        <v>0</v>
      </c>
      <c r="R8" s="341"/>
    </row>
    <row r="9" spans="1:18" hidden="1" x14ac:dyDescent="0.25">
      <c r="A9" s="346" t="s">
        <v>25</v>
      </c>
      <c r="B9" s="542">
        <f t="shared" si="0"/>
        <v>0</v>
      </c>
      <c r="C9" s="557">
        <f t="shared" si="1"/>
        <v>0</v>
      </c>
      <c r="D9" s="648"/>
      <c r="E9" s="557">
        <f t="shared" si="6"/>
        <v>0</v>
      </c>
      <c r="F9" s="557">
        <f t="shared" si="2"/>
        <v>0</v>
      </c>
      <c r="G9" s="557"/>
      <c r="H9" s="557">
        <f t="shared" si="7"/>
        <v>0</v>
      </c>
      <c r="I9" s="557">
        <f t="shared" si="3"/>
        <v>0</v>
      </c>
      <c r="J9" s="557"/>
      <c r="K9" s="557">
        <f t="shared" si="8"/>
        <v>0</v>
      </c>
      <c r="L9" s="557">
        <f t="shared" si="4"/>
        <v>0</v>
      </c>
      <c r="M9" s="557"/>
      <c r="N9" s="557">
        <f t="shared" si="9"/>
        <v>0</v>
      </c>
      <c r="O9" s="557">
        <f t="shared" si="5"/>
        <v>0</v>
      </c>
      <c r="P9" s="557"/>
      <c r="Q9" s="557">
        <f t="shared" si="10"/>
        <v>0</v>
      </c>
      <c r="R9" s="341"/>
    </row>
    <row r="10" spans="1:18" hidden="1" x14ac:dyDescent="0.25">
      <c r="A10" s="346" t="s">
        <v>26</v>
      </c>
      <c r="B10" s="542">
        <f t="shared" si="0"/>
        <v>0</v>
      </c>
      <c r="C10" s="557">
        <f t="shared" si="1"/>
        <v>0</v>
      </c>
      <c r="D10" s="648"/>
      <c r="E10" s="557">
        <f t="shared" si="6"/>
        <v>0</v>
      </c>
      <c r="F10" s="557">
        <f t="shared" si="2"/>
        <v>0</v>
      </c>
      <c r="G10" s="557"/>
      <c r="H10" s="557">
        <f t="shared" si="7"/>
        <v>0</v>
      </c>
      <c r="I10" s="557">
        <f t="shared" si="3"/>
        <v>0</v>
      </c>
      <c r="J10" s="557"/>
      <c r="K10" s="557">
        <f t="shared" si="8"/>
        <v>0</v>
      </c>
      <c r="L10" s="557">
        <f t="shared" si="4"/>
        <v>0</v>
      </c>
      <c r="M10" s="557"/>
      <c r="N10" s="557">
        <f t="shared" si="9"/>
        <v>0</v>
      </c>
      <c r="O10" s="557">
        <f t="shared" si="5"/>
        <v>0</v>
      </c>
      <c r="P10" s="557"/>
      <c r="Q10" s="557">
        <f t="shared" si="10"/>
        <v>0</v>
      </c>
      <c r="R10" s="341"/>
    </row>
    <row r="11" spans="1:18" x14ac:dyDescent="0.25">
      <c r="A11" s="346" t="s">
        <v>27</v>
      </c>
      <c r="B11" s="542">
        <f t="shared" si="0"/>
        <v>1316.6021751844492</v>
      </c>
      <c r="C11" s="557">
        <f t="shared" si="1"/>
        <v>1030.8187314361253</v>
      </c>
      <c r="D11" s="648">
        <f>'ANNEXE 1 Grille'!B11*(D$26-D$23)</f>
        <v>690.05962216274315</v>
      </c>
      <c r="E11" s="557">
        <f t="shared" si="6"/>
        <v>340.75910927338219</v>
      </c>
      <c r="F11" s="557">
        <f t="shared" si="2"/>
        <v>200.98518593674405</v>
      </c>
      <c r="G11" s="557">
        <f>'ANNEXE 1 Grille'!B11*(G$26-G$23)</f>
        <v>88.092717722903373</v>
      </c>
      <c r="H11" s="557">
        <f t="shared" si="7"/>
        <v>112.89246821384067</v>
      </c>
      <c r="I11" s="557">
        <f t="shared" si="3"/>
        <v>25.123148242093006</v>
      </c>
      <c r="J11" s="557">
        <f>'ANNEXE 1 Grille'!B11*(J$26-J$23)</f>
        <v>11.011589715362922</v>
      </c>
      <c r="K11" s="557">
        <f t="shared" si="8"/>
        <v>14.111558526730084</v>
      </c>
      <c r="L11" s="557">
        <f t="shared" si="4"/>
        <v>59.67510956948675</v>
      </c>
      <c r="M11" s="557">
        <f>'ANNEXE 1 Grille'!B11*(M$26-M$23)</f>
        <v>33.03476914608877</v>
      </c>
      <c r="N11" s="557">
        <f t="shared" si="9"/>
        <v>26.640340423397976</v>
      </c>
      <c r="O11" s="557">
        <f t="shared" si="5"/>
        <v>0</v>
      </c>
      <c r="P11" s="557"/>
      <c r="Q11" s="557">
        <f t="shared" si="10"/>
        <v>0</v>
      </c>
      <c r="R11" s="341"/>
    </row>
    <row r="12" spans="1:18" x14ac:dyDescent="0.25">
      <c r="A12" s="346" t="s">
        <v>28</v>
      </c>
      <c r="B12" s="542">
        <f t="shared" si="0"/>
        <v>1952.0165591670016</v>
      </c>
      <c r="C12" s="557">
        <f t="shared" si="1"/>
        <v>950.39902262115857</v>
      </c>
      <c r="D12" s="648">
        <f>'ANNEXE 1 Grille'!B12*(D$26-D$23)</f>
        <v>609.63991334777631</v>
      </c>
      <c r="E12" s="557">
        <f t="shared" si="6"/>
        <v>340.75910927338219</v>
      </c>
      <c r="F12" s="557">
        <f t="shared" si="2"/>
        <v>190.71884013057809</v>
      </c>
      <c r="G12" s="557">
        <f>'ANNEXE 1 Grille'!B12*(G$26-G$23)</f>
        <v>77.826371916737401</v>
      </c>
      <c r="H12" s="557">
        <f t="shared" si="7"/>
        <v>112.89246821384067</v>
      </c>
      <c r="I12" s="557">
        <f t="shared" si="3"/>
        <v>23.839855016322261</v>
      </c>
      <c r="J12" s="557">
        <f>'ANNEXE 1 Grille'!B12*(J$26-J$23)</f>
        <v>9.7282964895921751</v>
      </c>
      <c r="K12" s="557">
        <f t="shared" si="8"/>
        <v>14.111558526730084</v>
      </c>
      <c r="L12" s="557">
        <f t="shared" si="4"/>
        <v>55.825229892174505</v>
      </c>
      <c r="M12" s="557">
        <f>'ANNEXE 1 Grille'!B12*(M$26-M$23)</f>
        <v>29.184889468776525</v>
      </c>
      <c r="N12" s="557">
        <f t="shared" si="9"/>
        <v>26.640340423397976</v>
      </c>
      <c r="O12" s="557">
        <f t="shared" si="5"/>
        <v>731.2336115067684</v>
      </c>
      <c r="P12" s="557">
        <f>'ANNEXE 1 Grille'!B12*(P$26-P$23)</f>
        <v>246.45017773633512</v>
      </c>
      <c r="Q12" s="557">
        <f t="shared" si="10"/>
        <v>484.78343377043331</v>
      </c>
      <c r="R12" s="341"/>
    </row>
    <row r="13" spans="1:18" hidden="1" x14ac:dyDescent="0.25">
      <c r="A13" s="346" t="s">
        <v>29</v>
      </c>
      <c r="B13" s="542">
        <f t="shared" si="0"/>
        <v>0</v>
      </c>
      <c r="C13" s="557">
        <f t="shared" si="1"/>
        <v>0</v>
      </c>
      <c r="D13" s="648"/>
      <c r="E13" s="557">
        <f t="shared" si="6"/>
        <v>0</v>
      </c>
      <c r="F13" s="557">
        <f t="shared" si="2"/>
        <v>0</v>
      </c>
      <c r="G13" s="557"/>
      <c r="H13" s="557">
        <f t="shared" si="7"/>
        <v>0</v>
      </c>
      <c r="I13" s="557">
        <f t="shared" si="3"/>
        <v>0</v>
      </c>
      <c r="J13" s="557"/>
      <c r="K13" s="557">
        <f t="shared" si="8"/>
        <v>0</v>
      </c>
      <c r="L13" s="557">
        <f t="shared" si="4"/>
        <v>0</v>
      </c>
      <c r="M13" s="557"/>
      <c r="N13" s="557">
        <f t="shared" si="9"/>
        <v>0</v>
      </c>
      <c r="O13" s="557">
        <f t="shared" si="5"/>
        <v>0</v>
      </c>
      <c r="P13" s="557"/>
      <c r="Q13" s="557">
        <f t="shared" si="10"/>
        <v>0</v>
      </c>
      <c r="R13" s="341"/>
    </row>
    <row r="14" spans="1:18" x14ac:dyDescent="0.25">
      <c r="A14" s="346" t="s">
        <v>30</v>
      </c>
      <c r="B14" s="542">
        <f t="shared" si="0"/>
        <v>1546.7377185182854</v>
      </c>
      <c r="C14" s="557">
        <f t="shared" si="1"/>
        <v>696.42428248129625</v>
      </c>
      <c r="D14" s="648">
        <f>'ANNEXE 1 Grille'!B14*(D$26-D$23)</f>
        <v>355.66517320791405</v>
      </c>
      <c r="E14" s="557">
        <f t="shared" si="6"/>
        <v>340.75910927338219</v>
      </c>
      <c r="F14" s="557">
        <f t="shared" si="2"/>
        <v>158.29653287868075</v>
      </c>
      <c r="G14" s="557">
        <f>'ANNEXE 1 Grille'!B14*(G$26-G$23)</f>
        <v>45.404064664840085</v>
      </c>
      <c r="H14" s="557">
        <f t="shared" si="7"/>
        <v>112.89246821384067</v>
      </c>
      <c r="I14" s="557">
        <f t="shared" si="3"/>
        <v>19.787066609835094</v>
      </c>
      <c r="J14" s="557">
        <f>'ANNEXE 1 Grille'!B14*(J$26-J$23)</f>
        <v>5.6755080831050106</v>
      </c>
      <c r="K14" s="557">
        <f t="shared" si="8"/>
        <v>14.111558526730084</v>
      </c>
      <c r="L14" s="557">
        <f t="shared" si="4"/>
        <v>43.666864672713011</v>
      </c>
      <c r="M14" s="557">
        <f>'ANNEXE 1 Grille'!B14*(M$26-M$23)</f>
        <v>17.026524249315035</v>
      </c>
      <c r="N14" s="557">
        <f t="shared" si="9"/>
        <v>26.640340423397976</v>
      </c>
      <c r="O14" s="557">
        <f t="shared" si="5"/>
        <v>628.56297187576024</v>
      </c>
      <c r="P14" s="557">
        <f>'ANNEXE 1 Grille'!B14*(P$26-P$23)</f>
        <v>143.77953810532694</v>
      </c>
      <c r="Q14" s="557">
        <f t="shared" si="10"/>
        <v>484.78343377043331</v>
      </c>
      <c r="R14" s="341"/>
    </row>
    <row r="15" spans="1:18" x14ac:dyDescent="0.25">
      <c r="A15" s="346" t="s">
        <v>31</v>
      </c>
      <c r="B15" s="542">
        <f t="shared" si="0"/>
        <v>2192.6577097464983</v>
      </c>
      <c r="C15" s="557">
        <f t="shared" si="1"/>
        <v>1101.2008103176431</v>
      </c>
      <c r="D15" s="648">
        <f>'ANNEXE 1 Grille'!B15*(D$26-D$23)</f>
        <v>760.44170104426087</v>
      </c>
      <c r="E15" s="557">
        <f t="shared" si="6"/>
        <v>340.75910927338219</v>
      </c>
      <c r="F15" s="557">
        <f t="shared" si="2"/>
        <v>209.9701321769378</v>
      </c>
      <c r="G15" s="557">
        <f>'ANNEXE 1 Grille'!B15*(G$26-G$23)</f>
        <v>97.077663963097137</v>
      </c>
      <c r="H15" s="557">
        <f t="shared" si="7"/>
        <v>112.89246821384067</v>
      </c>
      <c r="I15" s="557">
        <f t="shared" si="3"/>
        <v>26.246266522117224</v>
      </c>
      <c r="J15" s="557">
        <f>'ANNEXE 1 Grille'!B15*(J$26-J$23)</f>
        <v>12.134707995387142</v>
      </c>
      <c r="K15" s="557">
        <f t="shared" si="8"/>
        <v>14.111558526730084</v>
      </c>
      <c r="L15" s="557">
        <f t="shared" si="4"/>
        <v>63.044464409559396</v>
      </c>
      <c r="M15" s="557">
        <f>'ANNEXE 1 Grille'!B15*(M$26-M$23)</f>
        <v>36.404123986161423</v>
      </c>
      <c r="N15" s="557">
        <f t="shared" si="9"/>
        <v>26.640340423397976</v>
      </c>
      <c r="O15" s="557">
        <f t="shared" si="5"/>
        <v>792.19603632024086</v>
      </c>
      <c r="P15" s="557">
        <f>'ANNEXE 1 Grille'!B15*(P$26-P$23)</f>
        <v>307.41260254980756</v>
      </c>
      <c r="Q15" s="557">
        <f t="shared" si="10"/>
        <v>484.78343377043331</v>
      </c>
      <c r="R15" s="341"/>
    </row>
    <row r="16" spans="1:18" x14ac:dyDescent="0.25">
      <c r="A16" s="346" t="s">
        <v>32</v>
      </c>
      <c r="B16" s="542">
        <f t="shared" si="0"/>
        <v>500.57083326333105</v>
      </c>
      <c r="C16" s="557">
        <f t="shared" si="1"/>
        <v>500.57083326333105</v>
      </c>
      <c r="D16" s="648">
        <f>'ANNEXE 1 Grille'!B16*(D$26-D$23)</f>
        <v>159.81172398994886</v>
      </c>
      <c r="E16" s="557">
        <f t="shared" si="6"/>
        <v>340.75910927338219</v>
      </c>
      <c r="F16" s="557">
        <f t="shared" si="2"/>
        <v>0</v>
      </c>
      <c r="G16" s="557"/>
      <c r="H16" s="557">
        <f t="shared" si="7"/>
        <v>0</v>
      </c>
      <c r="I16" s="557">
        <f t="shared" si="3"/>
        <v>0</v>
      </c>
      <c r="J16" s="557"/>
      <c r="K16" s="557">
        <f t="shared" si="8"/>
        <v>0</v>
      </c>
      <c r="L16" s="557">
        <f t="shared" si="4"/>
        <v>0</v>
      </c>
      <c r="M16" s="557"/>
      <c r="N16" s="557">
        <f t="shared" si="9"/>
        <v>0</v>
      </c>
      <c r="O16" s="557">
        <f t="shared" si="5"/>
        <v>0</v>
      </c>
      <c r="P16" s="557"/>
      <c r="Q16" s="557">
        <f t="shared" si="10"/>
        <v>0</v>
      </c>
      <c r="R16" s="341"/>
    </row>
    <row r="17" spans="1:18" x14ac:dyDescent="0.25">
      <c r="A17" s="346" t="s">
        <v>33</v>
      </c>
      <c r="B17" s="542">
        <f t="shared" si="0"/>
        <v>629.76750527550257</v>
      </c>
      <c r="C17" s="557">
        <f t="shared" si="1"/>
        <v>629.76750527550257</v>
      </c>
      <c r="D17" s="648">
        <f>'ANNEXE 1 Grille'!B17*(D$26-D$23)</f>
        <v>289.00839600212032</v>
      </c>
      <c r="E17" s="557">
        <f t="shared" si="6"/>
        <v>340.75910927338219</v>
      </c>
      <c r="F17" s="557">
        <f t="shared" si="2"/>
        <v>0</v>
      </c>
      <c r="G17" s="557"/>
      <c r="H17" s="557">
        <f t="shared" si="7"/>
        <v>0</v>
      </c>
      <c r="I17" s="557">
        <f t="shared" si="3"/>
        <v>0</v>
      </c>
      <c r="J17" s="557"/>
      <c r="K17" s="557">
        <f t="shared" si="8"/>
        <v>0</v>
      </c>
      <c r="L17" s="557">
        <f t="shared" si="4"/>
        <v>0</v>
      </c>
      <c r="M17" s="557"/>
      <c r="N17" s="557">
        <f t="shared" si="9"/>
        <v>0</v>
      </c>
      <c r="O17" s="557">
        <f t="shared" si="5"/>
        <v>0</v>
      </c>
      <c r="P17" s="557"/>
      <c r="Q17" s="557">
        <f t="shared" si="10"/>
        <v>0</v>
      </c>
      <c r="R17" s="341"/>
    </row>
    <row r="18" spans="1:18" hidden="1" x14ac:dyDescent="0.25">
      <c r="A18" s="346" t="s">
        <v>34</v>
      </c>
      <c r="B18" s="542">
        <f t="shared" si="0"/>
        <v>0</v>
      </c>
      <c r="C18" s="557">
        <f t="shared" si="1"/>
        <v>0</v>
      </c>
      <c r="D18" s="648"/>
      <c r="E18" s="557">
        <f t="shared" si="6"/>
        <v>0</v>
      </c>
      <c r="F18" s="557">
        <f t="shared" si="2"/>
        <v>0</v>
      </c>
      <c r="G18" s="557"/>
      <c r="H18" s="557">
        <f t="shared" si="7"/>
        <v>0</v>
      </c>
      <c r="I18" s="557">
        <f t="shared" si="3"/>
        <v>0</v>
      </c>
      <c r="J18" s="557"/>
      <c r="K18" s="557">
        <f t="shared" si="8"/>
        <v>0</v>
      </c>
      <c r="L18" s="557">
        <f t="shared" si="4"/>
        <v>0</v>
      </c>
      <c r="M18" s="557"/>
      <c r="N18" s="557">
        <f t="shared" si="9"/>
        <v>0</v>
      </c>
      <c r="O18" s="557">
        <f t="shared" si="5"/>
        <v>0</v>
      </c>
      <c r="P18" s="557"/>
      <c r="Q18" s="557">
        <f t="shared" si="10"/>
        <v>0</v>
      </c>
      <c r="R18" s="341"/>
    </row>
    <row r="19" spans="1:18" hidden="1" x14ac:dyDescent="0.25">
      <c r="A19" s="346" t="s">
        <v>35</v>
      </c>
      <c r="B19" s="542">
        <f t="shared" si="0"/>
        <v>0</v>
      </c>
      <c r="C19" s="557">
        <f t="shared" si="1"/>
        <v>0</v>
      </c>
      <c r="D19" s="648"/>
      <c r="E19" s="557">
        <f t="shared" si="6"/>
        <v>0</v>
      </c>
      <c r="F19" s="557">
        <f t="shared" si="2"/>
        <v>0</v>
      </c>
      <c r="G19" s="557"/>
      <c r="H19" s="557">
        <f t="shared" si="7"/>
        <v>0</v>
      </c>
      <c r="I19" s="557">
        <f t="shared" si="3"/>
        <v>0</v>
      </c>
      <c r="J19" s="557"/>
      <c r="K19" s="557">
        <f t="shared" si="8"/>
        <v>0</v>
      </c>
      <c r="L19" s="557">
        <f t="shared" si="4"/>
        <v>0</v>
      </c>
      <c r="M19" s="557"/>
      <c r="N19" s="557">
        <f t="shared" si="9"/>
        <v>0</v>
      </c>
      <c r="O19" s="557">
        <f t="shared" si="5"/>
        <v>0</v>
      </c>
      <c r="P19" s="557"/>
      <c r="Q19" s="557">
        <f t="shared" si="10"/>
        <v>0</v>
      </c>
      <c r="R19" s="341"/>
    </row>
    <row r="20" spans="1:18" x14ac:dyDescent="0.25">
      <c r="A20" s="346" t="s">
        <v>36</v>
      </c>
      <c r="B20" s="542">
        <f t="shared" si="0"/>
        <v>2567.142054194107</v>
      </c>
      <c r="C20" s="557">
        <f t="shared" si="1"/>
        <v>1335.8776661714778</v>
      </c>
      <c r="D20" s="648">
        <f>'ANNEXE 1 Grille'!B20*(D$26-D$23)</f>
        <v>995.11855689809556</v>
      </c>
      <c r="E20" s="557">
        <f t="shared" si="6"/>
        <v>340.75910927338219</v>
      </c>
      <c r="F20" s="557">
        <f t="shared" si="2"/>
        <v>239.92887973274651</v>
      </c>
      <c r="G20" s="557">
        <f>'ANNEXE 1 Grille'!B20*(G$26-G$23)</f>
        <v>127.03641151890582</v>
      </c>
      <c r="H20" s="557">
        <f t="shared" si="7"/>
        <v>112.89246821384067</v>
      </c>
      <c r="I20" s="557">
        <f t="shared" si="3"/>
        <v>29.991109966593314</v>
      </c>
      <c r="J20" s="557">
        <f>'ANNEXE 1 Grille'!B20*(J$26-J$23)</f>
        <v>15.879551439863228</v>
      </c>
      <c r="K20" s="557">
        <f t="shared" si="8"/>
        <v>14.111558526730084</v>
      </c>
      <c r="L20" s="557">
        <f t="shared" si="4"/>
        <v>74.278994742987663</v>
      </c>
      <c r="M20" s="557">
        <f>'ANNEXE 1 Grille'!B20*(M$26-M$23)</f>
        <v>47.638654319589683</v>
      </c>
      <c r="N20" s="557">
        <f t="shared" si="9"/>
        <v>26.640340423397976</v>
      </c>
      <c r="O20" s="557">
        <f t="shared" si="5"/>
        <v>887.06540358030179</v>
      </c>
      <c r="P20" s="557">
        <f>'ANNEXE 1 Grille'!B20*(P$26-P$23)</f>
        <v>402.28196980986843</v>
      </c>
      <c r="Q20" s="557">
        <f t="shared" si="10"/>
        <v>484.78343377043331</v>
      </c>
      <c r="R20" s="341"/>
    </row>
    <row r="21" spans="1:18" ht="17.25" hidden="1" customHeight="1" x14ac:dyDescent="0.25">
      <c r="A21" s="346" t="s">
        <v>54</v>
      </c>
      <c r="B21" s="542">
        <f t="shared" si="0"/>
        <v>0</v>
      </c>
      <c r="C21" s="557">
        <f t="shared" si="1"/>
        <v>0</v>
      </c>
      <c r="D21" s="648"/>
      <c r="E21" s="557">
        <f t="shared" si="6"/>
        <v>0</v>
      </c>
      <c r="F21" s="557">
        <f t="shared" si="2"/>
        <v>0</v>
      </c>
      <c r="G21" s="557"/>
      <c r="H21" s="557">
        <f t="shared" si="7"/>
        <v>0</v>
      </c>
      <c r="I21" s="557">
        <f t="shared" si="3"/>
        <v>0</v>
      </c>
      <c r="J21" s="557"/>
      <c r="K21" s="557">
        <f t="shared" si="8"/>
        <v>0</v>
      </c>
      <c r="L21" s="557">
        <f t="shared" si="4"/>
        <v>0</v>
      </c>
      <c r="M21" s="557"/>
      <c r="N21" s="557">
        <f t="shared" si="9"/>
        <v>0</v>
      </c>
      <c r="O21" s="557">
        <f t="shared" si="5"/>
        <v>0</v>
      </c>
      <c r="P21" s="557"/>
      <c r="Q21" s="557">
        <f t="shared" si="10"/>
        <v>0</v>
      </c>
    </row>
    <row r="22" spans="1:18" hidden="1" x14ac:dyDescent="0.25">
      <c r="A22" s="346" t="s">
        <v>55</v>
      </c>
      <c r="B22" s="542">
        <f t="shared" si="0"/>
        <v>0</v>
      </c>
      <c r="C22" s="557">
        <f t="shared" si="1"/>
        <v>0</v>
      </c>
      <c r="D22" s="648"/>
      <c r="E22" s="557">
        <f>IF(D22&lt;&gt;0,E$26/#REF!,D22)</f>
        <v>0</v>
      </c>
      <c r="F22" s="557">
        <f t="shared" si="2"/>
        <v>0</v>
      </c>
      <c r="G22" s="557"/>
      <c r="H22" s="557">
        <f>IF(G22&lt;&gt;0,H$26/#REF!,G22)</f>
        <v>0</v>
      </c>
      <c r="I22" s="557">
        <f t="shared" si="3"/>
        <v>0</v>
      </c>
      <c r="J22" s="557"/>
      <c r="K22" s="557">
        <f>IF(J22&lt;&gt;0,K$26/#REF!,J22)</f>
        <v>0</v>
      </c>
      <c r="L22" s="557">
        <f t="shared" si="4"/>
        <v>0</v>
      </c>
      <c r="M22" s="557"/>
      <c r="N22" s="557">
        <f>IF(M22&lt;&gt;0,N$26/#REF!,M22)</f>
        <v>0</v>
      </c>
      <c r="O22" s="557">
        <f t="shared" si="5"/>
        <v>0</v>
      </c>
      <c r="P22" s="557"/>
      <c r="Q22" s="557">
        <f>IF(P22&lt;&gt;0,Q$26/#REF!,P22)</f>
        <v>0</v>
      </c>
    </row>
    <row r="23" spans="1:18" hidden="1" x14ac:dyDescent="0.25">
      <c r="A23" s="346" t="s">
        <v>39</v>
      </c>
      <c r="B23" s="542">
        <f t="shared" si="0"/>
        <v>0</v>
      </c>
      <c r="C23" s="557">
        <f t="shared" si="1"/>
        <v>0</v>
      </c>
      <c r="D23" s="649"/>
      <c r="E23" s="632"/>
      <c r="F23" s="557">
        <f t="shared" si="2"/>
        <v>0</v>
      </c>
      <c r="G23" s="632"/>
      <c r="H23" s="632"/>
      <c r="I23" s="557">
        <f t="shared" si="3"/>
        <v>0</v>
      </c>
      <c r="J23" s="632"/>
      <c r="K23" s="632"/>
      <c r="L23" s="557">
        <f t="shared" si="4"/>
        <v>0</v>
      </c>
      <c r="M23" s="632"/>
      <c r="N23" s="632"/>
      <c r="O23" s="557">
        <f t="shared" si="5"/>
        <v>0</v>
      </c>
      <c r="P23" s="632"/>
      <c r="Q23" s="632"/>
    </row>
    <row r="24" spans="1:18" hidden="1" x14ac:dyDescent="0.25">
      <c r="A24" s="346" t="s">
        <v>5</v>
      </c>
      <c r="B24" s="542">
        <f t="shared" si="0"/>
        <v>0</v>
      </c>
      <c r="C24" s="557"/>
      <c r="D24" s="649"/>
      <c r="E24" s="632"/>
      <c r="F24" s="557"/>
      <c r="G24" s="632"/>
      <c r="H24" s="632"/>
      <c r="I24" s="557"/>
      <c r="J24" s="632"/>
      <c r="K24" s="632"/>
      <c r="L24" s="557"/>
      <c r="M24" s="632"/>
      <c r="N24" s="632"/>
      <c r="O24" s="557"/>
      <c r="P24" s="632"/>
      <c r="Q24" s="632"/>
    </row>
    <row r="25" spans="1:18" ht="30.75" customHeight="1" x14ac:dyDescent="0.25">
      <c r="A25" s="149" t="s">
        <v>50</v>
      </c>
      <c r="B25" s="542">
        <f>C25+F25+I25+L25+O25</f>
        <v>15000.000000000002</v>
      </c>
      <c r="C25" s="650">
        <f>SUM(C2:C24)</f>
        <v>9400.0000000000018</v>
      </c>
      <c r="D25" s="651">
        <f>SUM(D26:D26)</f>
        <v>9400</v>
      </c>
      <c r="E25" s="650"/>
      <c r="F25" s="650">
        <f>SUM(F2:F24)</f>
        <v>1200</v>
      </c>
      <c r="G25" s="650">
        <f>SUM(G26:G26)</f>
        <v>1200</v>
      </c>
      <c r="H25" s="650"/>
      <c r="I25" s="650">
        <f>SUM(I2:I24)</f>
        <v>150</v>
      </c>
      <c r="J25" s="650">
        <f>SUM(J26:J26)</f>
        <v>150</v>
      </c>
      <c r="K25" s="650"/>
      <c r="L25" s="650">
        <f>SUM(L2:L24)</f>
        <v>450</v>
      </c>
      <c r="M25" s="650">
        <f>SUM(M26:M26)</f>
        <v>450</v>
      </c>
      <c r="N25" s="650"/>
      <c r="O25" s="650">
        <f>SUM(O2:O24)</f>
        <v>3800</v>
      </c>
      <c r="P25" s="650">
        <f>SUM(P26:P26)</f>
        <v>3800</v>
      </c>
      <c r="Q25" s="650"/>
    </row>
    <row r="26" spans="1:18" ht="15.75" customHeight="1" x14ac:dyDescent="0.25">
      <c r="A26" s="652" t="s">
        <v>349</v>
      </c>
      <c r="B26" s="149"/>
      <c r="C26" s="619"/>
      <c r="D26" s="653">
        <v>9400</v>
      </c>
      <c r="E26" s="559">
        <f>D26-SUM(D2:D24)</f>
        <v>3407.5910927338218</v>
      </c>
      <c r="F26" s="559"/>
      <c r="G26" s="559">
        <v>1200</v>
      </c>
      <c r="H26" s="559">
        <f>G26-SUM(G2:G24)</f>
        <v>677.35480928304401</v>
      </c>
      <c r="I26" s="559"/>
      <c r="J26" s="559">
        <v>150</v>
      </c>
      <c r="K26" s="559">
        <f>J26-SUM(J2:J24)</f>
        <v>84.669351160380501</v>
      </c>
      <c r="L26" s="559"/>
      <c r="M26" s="559">
        <v>450</v>
      </c>
      <c r="N26" s="559">
        <f>M26-SUM(M2:M24)</f>
        <v>186.48238296378582</v>
      </c>
      <c r="O26" s="559"/>
      <c r="P26" s="559">
        <v>3800</v>
      </c>
      <c r="Q26" s="559">
        <f>P26-SUM(P2:P24)</f>
        <v>2423.9171688521665</v>
      </c>
    </row>
    <row r="27" spans="1:18" s="657" customFormat="1" ht="12" x14ac:dyDescent="0.2">
      <c r="A27" s="654" t="s">
        <v>40</v>
      </c>
      <c r="B27" s="655"/>
      <c r="C27" s="656"/>
      <c r="D27" s="656">
        <f>SUM(D2:E24)</f>
        <v>9400</v>
      </c>
      <c r="E27" s="656"/>
      <c r="F27" s="656"/>
      <c r="G27" s="656">
        <f>SUM(G2:H24)</f>
        <v>1200</v>
      </c>
      <c r="H27" s="656"/>
      <c r="I27" s="656"/>
      <c r="J27" s="656">
        <f>SUM(J2:K24)</f>
        <v>150</v>
      </c>
      <c r="K27" s="656"/>
      <c r="L27" s="656"/>
      <c r="M27" s="656">
        <f>SUM(M2:N24)</f>
        <v>450</v>
      </c>
      <c r="N27" s="656"/>
      <c r="O27" s="656"/>
      <c r="P27" s="656">
        <f>SUM(P2:Q24)</f>
        <v>3800.0000000000005</v>
      </c>
      <c r="Q27" s="656"/>
    </row>
    <row r="28" spans="1:18" x14ac:dyDescent="0.25">
      <c r="A28" s="658"/>
      <c r="B28" s="659"/>
      <c r="C28" s="660"/>
      <c r="D28" s="661">
        <f>COUNTA(D2:D24)</f>
        <v>10</v>
      </c>
      <c r="E28" s="662"/>
      <c r="F28" s="662"/>
      <c r="G28" s="661">
        <f>COUNTA(G2:G24)</f>
        <v>6</v>
      </c>
      <c r="H28" s="662"/>
      <c r="I28" s="662"/>
      <c r="J28" s="661">
        <f>COUNTA(J2:J24)</f>
        <v>6</v>
      </c>
      <c r="K28" s="662"/>
      <c r="L28" s="662"/>
      <c r="M28" s="661">
        <f>COUNTA(M2:M24)</f>
        <v>7</v>
      </c>
      <c r="N28" s="662"/>
      <c r="O28" s="662"/>
      <c r="P28" s="661">
        <f>COUNTA(P2:P24)</f>
        <v>5</v>
      </c>
      <c r="Q28" s="662"/>
    </row>
    <row r="31" spans="1:18" x14ac:dyDescent="0.25">
      <c r="A31" s="336" t="s">
        <v>350</v>
      </c>
    </row>
  </sheetData>
  <mergeCells count="5">
    <mergeCell ref="C1:E1"/>
    <mergeCell ref="F1:H1"/>
    <mergeCell ref="I1:K1"/>
    <mergeCell ref="L1:N1"/>
    <mergeCell ref="O1:Q1"/>
  </mergeCells>
  <printOptions horizontalCentered="1" verticalCentered="1"/>
  <pageMargins left="0.70833333333333304" right="0.70833333333333304" top="0.74861111111111101" bottom="0.74861111111111101" header="0.31527777777777799" footer="0.31527777777777799"/>
  <pageSetup paperSize="0" scale="0" firstPageNumber="0" orientation="portrait" usePrinterDefaults="0" horizontalDpi="0" verticalDpi="0" copies="0"/>
  <headerFooter>
    <oddHeader>&amp;C&amp;F</oddHeader>
    <oddFooter>&amp;L&amp;Z&amp;F&amp;R&amp;D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37"/>
  <sheetViews>
    <sheetView topLeftCell="A20" workbookViewId="0">
      <selection activeCell="G38" sqref="G38"/>
    </sheetView>
  </sheetViews>
  <sheetFormatPr baseColWidth="10" defaultColWidth="9.140625" defaultRowHeight="15" x14ac:dyDescent="0.25"/>
  <cols>
    <col min="1" max="1" width="22.140625" style="336" bestFit="1" customWidth="1"/>
    <col min="2" max="2" width="11" style="336" bestFit="1" customWidth="1"/>
    <col min="3" max="3" width="8.85546875" style="681" bestFit="1" customWidth="1"/>
    <col min="4" max="4" width="7.85546875" style="681" customWidth="1"/>
    <col min="5" max="5" width="9.140625" style="375"/>
    <col min="6" max="6" width="13.140625" style="681" customWidth="1"/>
    <col min="7" max="7" width="11" style="681" customWidth="1"/>
    <col min="8" max="8" width="11.140625" style="681" customWidth="1"/>
    <col min="9" max="9" width="9.140625" style="375"/>
    <col min="10" max="16384" width="9.140625" style="207"/>
  </cols>
  <sheetData>
    <row r="1" spans="1:9" ht="15" customHeight="1" x14ac:dyDescent="0.25">
      <c r="A1" s="774" t="s">
        <v>53</v>
      </c>
      <c r="B1" s="761" t="s">
        <v>351</v>
      </c>
      <c r="C1" s="761"/>
      <c r="D1" s="761"/>
      <c r="E1" s="671"/>
      <c r="F1" s="207"/>
      <c r="G1" s="207"/>
      <c r="H1" s="207"/>
      <c r="I1" s="207"/>
    </row>
    <row r="2" spans="1:9" x14ac:dyDescent="0.25">
      <c r="A2" s="774"/>
      <c r="B2" s="770">
        <v>2020</v>
      </c>
      <c r="C2" s="770"/>
      <c r="D2" s="770"/>
      <c r="E2" s="672"/>
      <c r="F2" s="207"/>
      <c r="G2" s="207"/>
      <c r="H2" s="207"/>
      <c r="I2" s="207"/>
    </row>
    <row r="3" spans="1:9" ht="77.25" customHeight="1" x14ac:dyDescent="0.25">
      <c r="A3" s="774"/>
      <c r="B3" s="673" t="s">
        <v>200</v>
      </c>
      <c r="C3" s="674" t="s">
        <v>201</v>
      </c>
      <c r="D3" s="674" t="s">
        <v>202</v>
      </c>
      <c r="E3" s="673"/>
      <c r="F3" s="207"/>
      <c r="G3" s="207"/>
      <c r="H3" s="207"/>
      <c r="I3" s="207"/>
    </row>
    <row r="4" spans="1:9" ht="15" customHeight="1" x14ac:dyDescent="0.25">
      <c r="A4" s="675" t="s">
        <v>18</v>
      </c>
      <c r="B4" s="557">
        <f>C4+D4</f>
        <v>2339.343276499937</v>
      </c>
      <c r="C4" s="632">
        <f>($B$26-$C$25)*'ANNEXE 1 Grille'!B2</f>
        <v>2135.0080960253208</v>
      </c>
      <c r="D4" s="557">
        <f>IF(C4&lt;&gt;0,$D$26/C$28,C4)</f>
        <v>204.33518047461621</v>
      </c>
      <c r="E4" s="676"/>
      <c r="F4" s="207"/>
      <c r="G4" s="207"/>
      <c r="H4" s="207"/>
      <c r="I4" s="207"/>
    </row>
    <row r="5" spans="1:9" ht="15" customHeight="1" x14ac:dyDescent="0.25">
      <c r="A5" s="675" t="s">
        <v>19</v>
      </c>
      <c r="B5" s="557">
        <f t="shared" ref="B5:B23" si="0">C5+D5</f>
        <v>1534.1832164472937</v>
      </c>
      <c r="C5" s="632">
        <f>($B$26-$C$25)*'ANNEXE 1 Grille'!B3</f>
        <v>1329.8480359726775</v>
      </c>
      <c r="D5" s="557">
        <f t="shared" ref="D5:D23" si="1">IF(C5&lt;&gt;0,$D$26/C$28,C5)</f>
        <v>204.33518047461621</v>
      </c>
      <c r="E5" s="676"/>
      <c r="F5" s="207"/>
      <c r="G5" s="207"/>
      <c r="H5" s="207"/>
      <c r="I5" s="207"/>
    </row>
    <row r="6" spans="1:9" x14ac:dyDescent="0.25">
      <c r="A6" s="675" t="s">
        <v>20</v>
      </c>
      <c r="B6" s="557">
        <f t="shared" si="0"/>
        <v>885.13188699588784</v>
      </c>
      <c r="C6" s="632">
        <f>($B$26-$C$25)*'ANNEXE 1 Grille'!B4</f>
        <v>680.79670652127163</v>
      </c>
      <c r="D6" s="557">
        <f t="shared" si="1"/>
        <v>204.33518047461621</v>
      </c>
      <c r="E6" s="676"/>
      <c r="F6" s="207"/>
      <c r="G6" s="207"/>
      <c r="H6" s="207"/>
      <c r="I6" s="207"/>
    </row>
    <row r="7" spans="1:9" x14ac:dyDescent="0.25">
      <c r="A7" s="675" t="s">
        <v>21</v>
      </c>
      <c r="B7" s="557">
        <f t="shared" si="0"/>
        <v>7838.0835467235584</v>
      </c>
      <c r="C7" s="632">
        <f>($B$26-$C$25)*'ANNEXE 1 Grille'!B5</f>
        <v>7633.7483662489421</v>
      </c>
      <c r="D7" s="557">
        <f t="shared" si="1"/>
        <v>204.33518047461621</v>
      </c>
      <c r="E7" s="676"/>
      <c r="F7" s="207"/>
      <c r="G7" s="207"/>
      <c r="H7" s="207"/>
      <c r="I7" s="207"/>
    </row>
    <row r="8" spans="1:9" x14ac:dyDescent="0.25">
      <c r="A8" s="677" t="s">
        <v>22</v>
      </c>
      <c r="B8" s="557">
        <f t="shared" si="0"/>
        <v>3901.3937815390864</v>
      </c>
      <c r="C8" s="632">
        <f>($B$26-$C$25)*'ANNEXE 1 Grille'!B6</f>
        <v>3697.0586010644702</v>
      </c>
      <c r="D8" s="557">
        <f t="shared" si="1"/>
        <v>204.33518047461621</v>
      </c>
      <c r="E8" s="676"/>
      <c r="F8" s="207"/>
      <c r="G8" s="207"/>
      <c r="H8" s="207"/>
      <c r="I8" s="207"/>
    </row>
    <row r="9" spans="1:9" x14ac:dyDescent="0.25">
      <c r="A9" s="677" t="s">
        <v>23</v>
      </c>
      <c r="B9" s="557">
        <f t="shared" si="0"/>
        <v>415.39337510719508</v>
      </c>
      <c r="C9" s="632">
        <f>($B$26-$C$25)*'ANNEXE 1 Grille'!B7</f>
        <v>211.05819463257885</v>
      </c>
      <c r="D9" s="557">
        <f t="shared" si="1"/>
        <v>204.33518047461621</v>
      </c>
      <c r="E9" s="676"/>
      <c r="F9" s="207"/>
      <c r="G9" s="207"/>
      <c r="H9" s="207"/>
      <c r="I9" s="207"/>
    </row>
    <row r="10" spans="1:9" x14ac:dyDescent="0.25">
      <c r="A10" s="677" t="s">
        <v>24</v>
      </c>
      <c r="B10" s="557">
        <f t="shared" si="0"/>
        <v>1211.488654117969</v>
      </c>
      <c r="C10" s="632">
        <f>($B$26-$C$25)*'ANNEXE 1 Grille'!B8</f>
        <v>1007.1534736433528</v>
      </c>
      <c r="D10" s="557">
        <f t="shared" si="1"/>
        <v>204.33518047461621</v>
      </c>
      <c r="E10" s="676"/>
      <c r="F10" s="207"/>
      <c r="G10" s="207"/>
      <c r="H10" s="207"/>
      <c r="I10" s="207"/>
    </row>
    <row r="11" spans="1:9" x14ac:dyDescent="0.25">
      <c r="A11" s="677" t="s">
        <v>25</v>
      </c>
      <c r="B11" s="557">
        <f t="shared" si="0"/>
        <v>618.66874121756246</v>
      </c>
      <c r="C11" s="632">
        <f>($B$26-$C$25)*'ANNEXE 1 Grille'!B9</f>
        <v>414.3335607429463</v>
      </c>
      <c r="D11" s="557">
        <f t="shared" si="1"/>
        <v>204.33518047461621</v>
      </c>
      <c r="E11" s="676"/>
      <c r="F11" s="207"/>
      <c r="G11" s="207"/>
      <c r="H11" s="207"/>
      <c r="I11" s="207"/>
    </row>
    <row r="12" spans="1:9" x14ac:dyDescent="0.25">
      <c r="A12" s="677" t="s">
        <v>26</v>
      </c>
      <c r="B12" s="557">
        <f t="shared" si="0"/>
        <v>7418.209236746613</v>
      </c>
      <c r="C12" s="632">
        <f>($B$26-$C$25)*'ANNEXE 1 Grille'!B10</f>
        <v>7213.8740562719968</v>
      </c>
      <c r="D12" s="557">
        <f t="shared" si="1"/>
        <v>204.33518047461621</v>
      </c>
      <c r="E12" s="676"/>
      <c r="F12" s="207"/>
      <c r="G12" s="207"/>
      <c r="H12" s="207"/>
      <c r="I12" s="207"/>
    </row>
    <row r="13" spans="1:9" x14ac:dyDescent="0.25">
      <c r="A13" s="675" t="s">
        <v>27</v>
      </c>
      <c r="B13" s="557">
        <f t="shared" si="0"/>
        <v>3938.9017988623632</v>
      </c>
      <c r="C13" s="632">
        <f>($B$26-$C$25)*'ANNEXE 1 Grille'!B11</f>
        <v>3734.566618387747</v>
      </c>
      <c r="D13" s="557">
        <f t="shared" si="1"/>
        <v>204.33518047461621</v>
      </c>
      <c r="E13" s="676"/>
      <c r="F13" s="207"/>
      <c r="G13" s="207"/>
      <c r="H13" s="207"/>
      <c r="I13" s="207"/>
    </row>
    <row r="14" spans="1:9" x14ac:dyDescent="0.25">
      <c r="A14" s="677" t="s">
        <v>28</v>
      </c>
      <c r="B14" s="557">
        <f t="shared" si="0"/>
        <v>3503.6745368186093</v>
      </c>
      <c r="C14" s="632">
        <f>($B$26-$C$25)*'ANNEXE 1 Grille'!B12</f>
        <v>3299.3393563439931</v>
      </c>
      <c r="D14" s="557">
        <f t="shared" si="1"/>
        <v>204.33518047461621</v>
      </c>
      <c r="E14" s="676"/>
      <c r="F14" s="207"/>
      <c r="G14" s="207"/>
      <c r="H14" s="207"/>
      <c r="I14" s="207"/>
    </row>
    <row r="15" spans="1:9" x14ac:dyDescent="0.25">
      <c r="A15" s="677" t="s">
        <v>29</v>
      </c>
      <c r="B15" s="557">
        <f t="shared" si="0"/>
        <v>414.90625753214351</v>
      </c>
      <c r="C15" s="632">
        <f>($B$26-$C$25)*'ANNEXE 1 Grille'!B13</f>
        <v>210.57107705752728</v>
      </c>
      <c r="D15" s="557">
        <f t="shared" si="1"/>
        <v>204.33518047461621</v>
      </c>
      <c r="E15" s="676"/>
      <c r="F15" s="207"/>
      <c r="G15" s="207"/>
      <c r="H15" s="207"/>
      <c r="I15" s="207"/>
    </row>
    <row r="16" spans="1:9" x14ac:dyDescent="0.25">
      <c r="A16" s="677" t="s">
        <v>30</v>
      </c>
      <c r="B16" s="557">
        <f t="shared" si="0"/>
        <v>2129.1765137820694</v>
      </c>
      <c r="C16" s="632">
        <f>($B$26-$C$25)*'ANNEXE 1 Grille'!B14</f>
        <v>1924.8413333074532</v>
      </c>
      <c r="D16" s="557">
        <f t="shared" si="1"/>
        <v>204.33518047461621</v>
      </c>
      <c r="E16" s="676"/>
      <c r="F16" s="207"/>
      <c r="G16" s="207"/>
      <c r="H16" s="207"/>
      <c r="I16" s="207"/>
    </row>
    <row r="17" spans="1:9" x14ac:dyDescent="0.25">
      <c r="A17" s="677" t="s">
        <v>31</v>
      </c>
      <c r="B17" s="557">
        <f t="shared" si="0"/>
        <v>4319.8059321890623</v>
      </c>
      <c r="C17" s="632">
        <f>($B$26-$C$25)*'ANNEXE 1 Grille'!B15</f>
        <v>4115.4707517144461</v>
      </c>
      <c r="D17" s="557">
        <f t="shared" si="1"/>
        <v>204.33518047461621</v>
      </c>
      <c r="E17" s="676"/>
      <c r="F17" s="207"/>
      <c r="G17" s="207"/>
      <c r="H17" s="207"/>
      <c r="I17" s="207"/>
    </row>
    <row r="18" spans="1:9" x14ac:dyDescent="0.25">
      <c r="A18" s="677" t="s">
        <v>32</v>
      </c>
      <c r="B18" s="557">
        <f t="shared" si="0"/>
        <v>1069.2278802812193</v>
      </c>
      <c r="C18" s="632">
        <f>($B$26-$C$25)*'ANNEXE 1 Grille'!B16</f>
        <v>864.8926998066031</v>
      </c>
      <c r="D18" s="557">
        <f t="shared" si="1"/>
        <v>204.33518047461621</v>
      </c>
      <c r="E18" s="676"/>
      <c r="F18" s="207"/>
      <c r="G18" s="207"/>
      <c r="H18" s="207"/>
      <c r="I18" s="207"/>
    </row>
    <row r="19" spans="1:9" x14ac:dyDescent="0.25">
      <c r="A19" s="675" t="s">
        <v>33</v>
      </c>
      <c r="B19" s="557">
        <f t="shared" si="0"/>
        <v>1768.433518471212</v>
      </c>
      <c r="C19" s="632">
        <f>($B$26-$C$25)*'ANNEXE 1 Grille'!B17</f>
        <v>1564.0983379965958</v>
      </c>
      <c r="D19" s="557">
        <f>IF(C19&lt;&gt;0,$D$26/C$28,C19)</f>
        <v>204.33518047461621</v>
      </c>
      <c r="E19" s="676"/>
      <c r="F19" s="207"/>
      <c r="G19" s="207"/>
      <c r="H19" s="207"/>
      <c r="I19" s="207"/>
    </row>
    <row r="20" spans="1:9" x14ac:dyDescent="0.25">
      <c r="A20" s="675" t="s">
        <v>34</v>
      </c>
      <c r="B20" s="557">
        <f t="shared" si="0"/>
        <v>1161.7088722239923</v>
      </c>
      <c r="C20" s="632">
        <f>($B$26-$C$25)*'ANNEXE 1 Grille'!B18</f>
        <v>957.37369174937623</v>
      </c>
      <c r="D20" s="557">
        <f t="shared" si="1"/>
        <v>204.33518047461621</v>
      </c>
      <c r="E20" s="676"/>
      <c r="F20" s="207"/>
      <c r="G20" s="207"/>
      <c r="H20" s="207"/>
      <c r="I20" s="207"/>
    </row>
    <row r="21" spans="1:9" x14ac:dyDescent="0.25">
      <c r="A21" s="678" t="s">
        <v>35</v>
      </c>
      <c r="B21" s="557">
        <f t="shared" si="0"/>
        <v>438.33387530407873</v>
      </c>
      <c r="C21" s="632">
        <f>($B$26-$C$25)*'ANNEXE 1 Grille'!B19</f>
        <v>233.99869482946252</v>
      </c>
      <c r="D21" s="557">
        <f t="shared" si="1"/>
        <v>204.33518047461621</v>
      </c>
      <c r="E21" s="676"/>
      <c r="F21" s="207"/>
      <c r="G21" s="207"/>
      <c r="H21" s="207"/>
      <c r="I21" s="207"/>
    </row>
    <row r="22" spans="1:9" x14ac:dyDescent="0.25">
      <c r="A22" s="678" t="s">
        <v>36</v>
      </c>
      <c r="B22" s="557">
        <f t="shared" si="0"/>
        <v>5589.8648138160061</v>
      </c>
      <c r="C22" s="632">
        <f>($B$26-$C$25)*'ANNEXE 1 Grille'!B20</f>
        <v>5385.5296333413899</v>
      </c>
      <c r="D22" s="557">
        <f t="shared" si="1"/>
        <v>204.33518047461621</v>
      </c>
      <c r="E22" s="676"/>
      <c r="F22" s="207"/>
      <c r="G22" s="207"/>
      <c r="H22" s="207"/>
      <c r="I22" s="207"/>
    </row>
    <row r="23" spans="1:9" x14ac:dyDescent="0.25">
      <c r="A23" s="678" t="s">
        <v>37</v>
      </c>
      <c r="B23" s="557">
        <f t="shared" si="0"/>
        <v>376.37911977107859</v>
      </c>
      <c r="C23" s="632">
        <f>($B$26-$C$25)*'ANNEXE 1 Grille'!B21</f>
        <v>172.04393929646238</v>
      </c>
      <c r="D23" s="557">
        <f t="shared" si="1"/>
        <v>204.33518047461621</v>
      </c>
      <c r="E23" s="676"/>
      <c r="F23" s="207"/>
      <c r="G23" s="207"/>
      <c r="H23" s="207"/>
      <c r="I23" s="207"/>
    </row>
    <row r="24" spans="1:9" x14ac:dyDescent="0.25">
      <c r="A24" s="677" t="s">
        <v>39</v>
      </c>
      <c r="B24" s="557">
        <f>C24+D24</f>
        <v>0</v>
      </c>
      <c r="C24" s="632"/>
      <c r="D24" s="632"/>
      <c r="E24" s="676"/>
      <c r="F24" s="207"/>
      <c r="G24" s="207"/>
      <c r="H24" s="207"/>
      <c r="I24" s="207"/>
    </row>
    <row r="25" spans="1:9" x14ac:dyDescent="0.25">
      <c r="A25" s="679" t="s">
        <v>5</v>
      </c>
      <c r="B25" s="557">
        <f>C25+D25</f>
        <v>50872.308834446922</v>
      </c>
      <c r="C25" s="632">
        <f>B26/2</f>
        <v>50872.308834446922</v>
      </c>
      <c r="D25" s="632"/>
      <c r="E25" s="676"/>
      <c r="F25" s="207"/>
      <c r="G25" s="207"/>
      <c r="H25" s="207"/>
      <c r="I25" s="207"/>
    </row>
    <row r="26" spans="1:9" x14ac:dyDescent="0.25">
      <c r="A26" s="680" t="s">
        <v>50</v>
      </c>
      <c r="B26" s="559">
        <f>C32</f>
        <v>101744.61766889384</v>
      </c>
      <c r="C26" s="559">
        <f>SUM(C4:C25)</f>
        <v>97657.914059401519</v>
      </c>
      <c r="D26" s="542">
        <f>B26-SUM(C4:C25)</f>
        <v>4086.7036094923242</v>
      </c>
      <c r="E26" s="676"/>
      <c r="F26" s="207"/>
      <c r="G26" s="207"/>
      <c r="H26" s="207"/>
      <c r="I26" s="207"/>
    </row>
    <row r="27" spans="1:9" x14ac:dyDescent="0.25">
      <c r="A27" s="654" t="s">
        <v>40</v>
      </c>
      <c r="B27" s="656">
        <f>SUM(B4:B25)</f>
        <v>101744.61766889387</v>
      </c>
      <c r="C27" s="656">
        <f>SUM(C4:C25)</f>
        <v>97657.914059401519</v>
      </c>
      <c r="D27" s="656">
        <f>SUM(D4:D25)</f>
        <v>4086.7036094923242</v>
      </c>
      <c r="E27" s="494"/>
      <c r="F27" s="299"/>
      <c r="G27" s="207"/>
      <c r="H27" s="207"/>
      <c r="I27" s="207"/>
    </row>
    <row r="28" spans="1:9" x14ac:dyDescent="0.25">
      <c r="B28" s="375" t="s">
        <v>203</v>
      </c>
      <c r="C28" s="620">
        <f>SUBTOTAL(3,C4:C23)</f>
        <v>20</v>
      </c>
      <c r="F28" s="207"/>
      <c r="G28" s="207"/>
      <c r="H28" s="207"/>
      <c r="I28" s="207"/>
    </row>
    <row r="30" spans="1:9" x14ac:dyDescent="0.25">
      <c r="A30" s="741" t="s">
        <v>255</v>
      </c>
      <c r="B30" s="741"/>
      <c r="C30" s="623">
        <f>SUBTOTAL(3,D4:D23)</f>
        <v>20</v>
      </c>
    </row>
    <row r="31" spans="1:9" x14ac:dyDescent="0.25">
      <c r="A31" s="725" t="s">
        <v>209</v>
      </c>
      <c r="B31" s="725"/>
      <c r="C31" s="725"/>
    </row>
    <row r="32" spans="1:9" x14ac:dyDescent="0.25">
      <c r="A32" s="768" t="s">
        <v>447</v>
      </c>
      <c r="B32" s="769"/>
      <c r="C32" s="370">
        <f>C34*C36</f>
        <v>101744.61766889384</v>
      </c>
    </row>
    <row r="33" spans="1:3" x14ac:dyDescent="0.25">
      <c r="A33" s="768" t="s">
        <v>439</v>
      </c>
      <c r="B33" s="769"/>
      <c r="C33" s="370">
        <f>C32*1.2</f>
        <v>122093.54120267261</v>
      </c>
    </row>
    <row r="34" spans="1:3" x14ac:dyDescent="0.25">
      <c r="A34" s="768" t="s">
        <v>452</v>
      </c>
      <c r="B34" s="769"/>
      <c r="C34" s="370">
        <v>100000</v>
      </c>
    </row>
    <row r="35" spans="1:3" x14ac:dyDescent="0.25">
      <c r="A35" s="768" t="s">
        <v>453</v>
      </c>
      <c r="B35" s="769"/>
      <c r="C35" s="370">
        <f>C34*1.2</f>
        <v>120000</v>
      </c>
    </row>
    <row r="36" spans="1:3" x14ac:dyDescent="0.25">
      <c r="A36" s="768" t="s">
        <v>441</v>
      </c>
      <c r="B36" s="769"/>
      <c r="C36" s="624">
        <f>2741/2694</f>
        <v>1.0174461766889384</v>
      </c>
    </row>
    <row r="37" spans="1:3" x14ac:dyDescent="0.25">
      <c r="A37" s="426"/>
      <c r="B37" s="426"/>
      <c r="C37" s="426"/>
    </row>
  </sheetData>
  <mergeCells count="10">
    <mergeCell ref="A1:A3"/>
    <mergeCell ref="B1:D1"/>
    <mergeCell ref="B2:D2"/>
    <mergeCell ref="A35:B35"/>
    <mergeCell ref="A36:B36"/>
    <mergeCell ref="A30:B30"/>
    <mergeCell ref="A31:C31"/>
    <mergeCell ref="A32:B32"/>
    <mergeCell ref="A33:B33"/>
    <mergeCell ref="A34:B3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LO25"/>
  <sheetViews>
    <sheetView topLeftCell="A7" workbookViewId="0">
      <selection activeCell="H25" sqref="H25"/>
    </sheetView>
  </sheetViews>
  <sheetFormatPr baseColWidth="10" defaultColWidth="9.140625" defaultRowHeight="15" x14ac:dyDescent="0.25"/>
  <cols>
    <col min="1" max="1" width="21.28515625" style="145" customWidth="1"/>
    <col min="2" max="2" width="20.42578125" style="27" customWidth="1"/>
  </cols>
  <sheetData>
    <row r="1" spans="1:949" s="1" customFormat="1" ht="60" x14ac:dyDescent="0.25">
      <c r="A1" s="147" t="s">
        <v>4</v>
      </c>
      <c r="B1" s="148" t="s">
        <v>396</v>
      </c>
      <c r="C1" s="13"/>
    </row>
    <row r="2" spans="1:949" x14ac:dyDescent="0.25">
      <c r="A2" s="149" t="s">
        <v>18</v>
      </c>
      <c r="B2" s="188">
        <v>4.1967981106838484E-2</v>
      </c>
      <c r="C2" s="13"/>
      <c r="AJM2" s="1"/>
    </row>
    <row r="3" spans="1:949" x14ac:dyDescent="0.25">
      <c r="A3" s="149" t="s">
        <v>19</v>
      </c>
      <c r="B3" s="188">
        <v>2.6140901925650443E-2</v>
      </c>
      <c r="C3" s="13"/>
      <c r="AJM3" s="1"/>
    </row>
    <row r="4" spans="1:949" x14ac:dyDescent="0.25">
      <c r="A4" s="149" t="s">
        <v>20</v>
      </c>
      <c r="B4" s="188">
        <v>1.3382461345263084E-2</v>
      </c>
      <c r="C4" s="13"/>
      <c r="AJM4" s="1"/>
    </row>
    <row r="5" spans="1:949" x14ac:dyDescent="0.25">
      <c r="A5" s="149" t="s">
        <v>21</v>
      </c>
      <c r="B5" s="188">
        <v>0.15005704559412367</v>
      </c>
      <c r="C5" s="13"/>
      <c r="AJM5" s="1"/>
    </row>
    <row r="6" spans="1:949" x14ac:dyDescent="0.25">
      <c r="A6" s="20" t="s">
        <v>22</v>
      </c>
      <c r="B6" s="188">
        <v>7.2673300775393523E-2</v>
      </c>
      <c r="AJM6" s="1"/>
    </row>
    <row r="7" spans="1:949" x14ac:dyDescent="0.25">
      <c r="A7" s="20" t="s">
        <v>23</v>
      </c>
      <c r="B7" s="188">
        <v>4.1487834829636435E-3</v>
      </c>
      <c r="AJM7" s="1"/>
    </row>
    <row r="8" spans="1:949" x14ac:dyDescent="0.25">
      <c r="A8" s="20" t="s">
        <v>24</v>
      </c>
      <c r="B8" s="188">
        <v>1.9797675724153172E-2</v>
      </c>
      <c r="AJM8" s="1"/>
    </row>
    <row r="9" spans="1:949" x14ac:dyDescent="0.25">
      <c r="A9" s="20" t="s">
        <v>25</v>
      </c>
      <c r="B9" s="188">
        <v>8.1445794428420086E-3</v>
      </c>
      <c r="AJM9" s="1"/>
    </row>
    <row r="10" spans="1:949" x14ac:dyDescent="0.25">
      <c r="A10" s="20" t="s">
        <v>26</v>
      </c>
      <c r="B10" s="188">
        <v>0.14180355131409528</v>
      </c>
      <c r="AJM10" s="1"/>
    </row>
    <row r="11" spans="1:949" x14ac:dyDescent="0.25">
      <c r="A11" s="54" t="s">
        <v>27</v>
      </c>
      <c r="B11" s="188">
        <v>7.3410598102419483E-2</v>
      </c>
      <c r="AJM11" s="1"/>
    </row>
    <row r="12" spans="1:949" x14ac:dyDescent="0.25">
      <c r="A12" s="20" t="s">
        <v>28</v>
      </c>
      <c r="B12" s="188">
        <v>6.4855309930614502E-2</v>
      </c>
      <c r="AJM12" s="1"/>
    </row>
    <row r="13" spans="1:949" x14ac:dyDescent="0.25">
      <c r="A13" s="20" t="s">
        <v>29</v>
      </c>
      <c r="B13" s="188">
        <v>4.1392081838232649E-3</v>
      </c>
      <c r="AJM13" s="1"/>
    </row>
    <row r="14" spans="1:949" x14ac:dyDescent="0.25">
      <c r="A14" s="20" t="s">
        <v>30</v>
      </c>
      <c r="B14" s="188">
        <v>3.7836720554033407E-2</v>
      </c>
      <c r="AJM14" s="1"/>
    </row>
    <row r="15" spans="1:949" x14ac:dyDescent="0.25">
      <c r="A15" s="20" t="s">
        <v>31</v>
      </c>
      <c r="B15" s="188">
        <v>8.0898053302580944E-2</v>
      </c>
      <c r="AJM15" s="1"/>
    </row>
    <row r="16" spans="1:949" x14ac:dyDescent="0.25">
      <c r="A16" s="20" t="s">
        <v>32</v>
      </c>
      <c r="B16" s="188">
        <v>1.7001247232973284E-2</v>
      </c>
      <c r="AJM16" s="1"/>
    </row>
    <row r="17" spans="1:1003" s="10" customFormat="1" x14ac:dyDescent="0.25">
      <c r="A17" s="149" t="s">
        <v>33</v>
      </c>
      <c r="B17" s="188">
        <v>3.0745574042778757E-2</v>
      </c>
      <c r="C17" s="13"/>
    </row>
    <row r="18" spans="1:1003" s="1" customFormat="1" x14ac:dyDescent="0.25">
      <c r="A18" s="149" t="s">
        <v>34</v>
      </c>
      <c r="B18" s="188">
        <v>1.8819151591191678E-2</v>
      </c>
      <c r="C18" s="13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</row>
    <row r="19" spans="1:1003" s="1" customFormat="1" x14ac:dyDescent="0.25">
      <c r="A19" s="151" t="s">
        <v>35</v>
      </c>
      <c r="B19" s="188">
        <v>4.5997262595444876E-3</v>
      </c>
      <c r="C19" s="5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</row>
    <row r="20" spans="1:1003" s="1" customFormat="1" x14ac:dyDescent="0.25">
      <c r="A20" s="151" t="s">
        <v>36</v>
      </c>
      <c r="B20" s="188">
        <v>0.10586367626575485</v>
      </c>
      <c r="C20" s="5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</row>
    <row r="21" spans="1:1003" s="1" customFormat="1" x14ac:dyDescent="0.25">
      <c r="A21" s="151" t="s">
        <v>37</v>
      </c>
      <c r="B21" s="188">
        <v>3.3818779457473157E-3</v>
      </c>
      <c r="C21" s="5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</row>
    <row r="22" spans="1:1003" s="1" customFormat="1" x14ac:dyDescent="0.25">
      <c r="A22" s="151" t="s">
        <v>352</v>
      </c>
      <c r="B22" s="188">
        <v>8.0332575877214762E-2</v>
      </c>
      <c r="C22" s="15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</row>
    <row r="23" spans="1:1003" s="1" customFormat="1" x14ac:dyDescent="0.25">
      <c r="A23" s="20" t="s">
        <v>12</v>
      </c>
      <c r="B23" s="176">
        <f>SUM(B2:B22)</f>
        <v>1</v>
      </c>
      <c r="C23" s="152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</row>
    <row r="24" spans="1:1003" s="1" customFormat="1" x14ac:dyDescent="0.25">
      <c r="A24"/>
      <c r="B24"/>
      <c r="C24" s="5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</row>
    <row r="25" spans="1:1003" x14ac:dyDescent="0.25">
      <c r="A25" s="20" t="s">
        <v>39</v>
      </c>
      <c r="B25" s="150">
        <v>0.06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5"/>
    <pageSetUpPr fitToPage="1"/>
  </sheetPr>
  <dimension ref="A1:AF48"/>
  <sheetViews>
    <sheetView tabSelected="1" zoomScale="120" zoomScaleNormal="120" workbookViewId="0">
      <pane xSplit="1" ySplit="2" topLeftCell="B3" activePane="bottomRight" state="frozen"/>
      <selection pane="topRight" activeCell="B1" sqref="B1"/>
      <selection pane="bottomLeft" activeCell="A17" sqref="A17"/>
      <selection pane="bottomRight" activeCell="AG7" sqref="AG7"/>
    </sheetView>
  </sheetViews>
  <sheetFormatPr baseColWidth="10" defaultColWidth="9.5703125" defaultRowHeight="12" x14ac:dyDescent="0.2"/>
  <cols>
    <col min="1" max="1" width="10.42578125" style="569" customWidth="1"/>
    <col min="2" max="2" width="10.140625" style="458" customWidth="1"/>
    <col min="3" max="3" width="9.5703125" style="458" customWidth="1"/>
    <col min="4" max="4" width="9.5703125" style="455" customWidth="1"/>
    <col min="5" max="5" width="9.140625" style="455" customWidth="1"/>
    <col min="6" max="6" width="9.140625" style="793" customWidth="1"/>
    <col min="7" max="7" width="9.7109375" style="245" hidden="1" customWidth="1"/>
    <col min="8" max="8" width="7.7109375" style="245" hidden="1" customWidth="1"/>
    <col min="9" max="9" width="9.5703125" style="793" customWidth="1"/>
    <col min="10" max="10" width="9" style="793" customWidth="1"/>
    <col min="11" max="11" width="9.7109375" style="245" hidden="1" customWidth="1"/>
    <col min="12" max="12" width="7.7109375" style="245" hidden="1" customWidth="1"/>
    <col min="13" max="13" width="9" style="569" customWidth="1"/>
    <col min="14" max="14" width="8.85546875" style="569" customWidth="1"/>
    <col min="15" max="15" width="8.85546875" style="607" customWidth="1"/>
    <col min="16" max="16" width="8.7109375" style="663" customWidth="1"/>
    <col min="17" max="17" width="8.5703125" style="569" customWidth="1"/>
    <col min="18" max="18" width="0" style="223" hidden="1" customWidth="1"/>
    <col min="19" max="20" width="9.5703125" style="223" hidden="1" customWidth="1"/>
    <col min="21" max="21" width="8" style="806" customWidth="1"/>
    <col min="22" max="22" width="9" style="223" hidden="1" customWidth="1"/>
    <col min="23" max="23" width="7.7109375" style="223" hidden="1" customWidth="1"/>
    <col min="24" max="24" width="8" style="223" hidden="1" customWidth="1"/>
    <col min="25" max="25" width="9" style="223" hidden="1" customWidth="1"/>
    <col min="26" max="26" width="7.7109375" style="223" hidden="1" customWidth="1"/>
    <col min="27" max="27" width="8.140625" style="806" customWidth="1"/>
    <col min="28" max="28" width="8.140625" style="223" hidden="1" customWidth="1"/>
    <col min="29" max="29" width="9.5703125" style="569" customWidth="1"/>
    <col min="30" max="31" width="9.5703125" style="223" hidden="1" customWidth="1"/>
    <col min="32" max="32" width="9.5703125" style="569" customWidth="1"/>
    <col min="33" max="16384" width="9.5703125" style="223"/>
  </cols>
  <sheetData>
    <row r="1" spans="1:32" s="569" customFormat="1" ht="35.25" customHeight="1" x14ac:dyDescent="0.2">
      <c r="A1" s="704" t="s">
        <v>41</v>
      </c>
      <c r="B1" s="704" t="s">
        <v>79</v>
      </c>
      <c r="C1" s="705" t="s">
        <v>381</v>
      </c>
      <c r="D1" s="705"/>
      <c r="E1" s="705"/>
      <c r="F1" s="705"/>
      <c r="G1" s="705"/>
      <c r="H1" s="705"/>
      <c r="I1" s="705"/>
      <c r="J1" s="705"/>
      <c r="K1" s="705"/>
      <c r="L1" s="705"/>
      <c r="M1" s="698" t="s">
        <v>382</v>
      </c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08"/>
      <c r="AE1" s="608"/>
      <c r="AF1" s="609" t="s">
        <v>394</v>
      </c>
    </row>
    <row r="2" spans="1:32" s="569" customFormat="1" ht="36" customHeight="1" x14ac:dyDescent="0.2">
      <c r="A2" s="704"/>
      <c r="B2" s="704"/>
      <c r="C2" s="706" t="s">
        <v>42</v>
      </c>
      <c r="D2" s="706" t="s">
        <v>43</v>
      </c>
      <c r="E2" s="702" t="s">
        <v>47</v>
      </c>
      <c r="F2" s="796" t="s">
        <v>449</v>
      </c>
      <c r="G2" s="797"/>
      <c r="H2" s="798"/>
      <c r="I2" s="788" t="s">
        <v>368</v>
      </c>
      <c r="J2" s="802" t="s">
        <v>367</v>
      </c>
      <c r="K2" s="802"/>
      <c r="L2" s="802"/>
      <c r="M2" s="702" t="s">
        <v>44</v>
      </c>
      <c r="N2" s="702" t="s">
        <v>45</v>
      </c>
      <c r="O2" s="702" t="s">
        <v>46</v>
      </c>
      <c r="P2" s="703" t="s">
        <v>48</v>
      </c>
      <c r="Q2" s="703" t="s">
        <v>49</v>
      </c>
      <c r="R2" s="699" t="s">
        <v>397</v>
      </c>
      <c r="S2" s="699"/>
      <c r="T2" s="699"/>
      <c r="U2" s="802" t="s">
        <v>13</v>
      </c>
      <c r="V2" s="802"/>
      <c r="W2" s="802"/>
      <c r="X2" s="699" t="s">
        <v>398</v>
      </c>
      <c r="Y2" s="699"/>
      <c r="Z2" s="699"/>
      <c r="AA2" s="807" t="s">
        <v>14</v>
      </c>
      <c r="AB2" s="686" t="s">
        <v>395</v>
      </c>
      <c r="AC2" s="699" t="s">
        <v>199</v>
      </c>
      <c r="AD2" s="699"/>
      <c r="AE2" s="699"/>
      <c r="AF2" s="665"/>
    </row>
    <row r="3" spans="1:32" ht="12" hidden="1" customHeight="1" x14ac:dyDescent="0.2">
      <c r="A3" s="704"/>
      <c r="B3" s="704"/>
      <c r="C3" s="706"/>
      <c r="D3" s="706"/>
      <c r="E3" s="702"/>
      <c r="F3" s="795"/>
      <c r="G3" s="335"/>
      <c r="H3" s="335"/>
      <c r="I3" s="788"/>
      <c r="J3" s="707">
        <v>2018</v>
      </c>
      <c r="K3" s="707"/>
      <c r="L3" s="707"/>
      <c r="M3" s="702"/>
      <c r="N3" s="702"/>
      <c r="O3" s="702"/>
      <c r="P3" s="703"/>
      <c r="Q3" s="703"/>
      <c r="R3" s="701">
        <v>2018</v>
      </c>
      <c r="S3" s="701"/>
      <c r="T3" s="701"/>
      <c r="U3" s="701">
        <v>2018</v>
      </c>
      <c r="V3" s="701"/>
      <c r="W3" s="701"/>
      <c r="X3" s="701">
        <v>2018</v>
      </c>
      <c r="Y3" s="701"/>
      <c r="Z3" s="701"/>
      <c r="AA3" s="808">
        <v>2018</v>
      </c>
      <c r="AB3" s="222"/>
      <c r="AC3" s="701">
        <v>2018</v>
      </c>
      <c r="AD3" s="701"/>
      <c r="AE3" s="701"/>
      <c r="AF3" s="700">
        <v>2018</v>
      </c>
    </row>
    <row r="4" spans="1:32" ht="24" hidden="1" x14ac:dyDescent="0.2">
      <c r="A4" s="704"/>
      <c r="B4" s="704"/>
      <c r="C4" s="706"/>
      <c r="D4" s="706"/>
      <c r="E4" s="702"/>
      <c r="F4" s="795"/>
      <c r="G4" s="224" t="s">
        <v>201</v>
      </c>
      <c r="H4" s="224" t="s">
        <v>202</v>
      </c>
      <c r="I4" s="788"/>
      <c r="J4" s="799" t="s">
        <v>200</v>
      </c>
      <c r="K4" s="224" t="s">
        <v>201</v>
      </c>
      <c r="L4" s="224" t="s">
        <v>202</v>
      </c>
      <c r="M4" s="702"/>
      <c r="N4" s="702"/>
      <c r="O4" s="702"/>
      <c r="P4" s="703"/>
      <c r="Q4" s="703"/>
      <c r="R4" s="225" t="s">
        <v>200</v>
      </c>
      <c r="S4" s="224" t="s">
        <v>201</v>
      </c>
      <c r="T4" s="224" t="s">
        <v>202</v>
      </c>
      <c r="U4" s="803" t="s">
        <v>200</v>
      </c>
      <c r="V4" s="224" t="s">
        <v>201</v>
      </c>
      <c r="W4" s="224" t="s">
        <v>202</v>
      </c>
      <c r="X4" s="225" t="s">
        <v>200</v>
      </c>
      <c r="Y4" s="224" t="s">
        <v>201</v>
      </c>
      <c r="Z4" s="224" t="s">
        <v>202</v>
      </c>
      <c r="AA4" s="808"/>
      <c r="AB4" s="222"/>
      <c r="AC4" s="685" t="s">
        <v>200</v>
      </c>
      <c r="AD4" s="224" t="s">
        <v>201</v>
      </c>
      <c r="AE4" s="224" t="s">
        <v>202</v>
      </c>
      <c r="AF4" s="700"/>
    </row>
    <row r="5" spans="1:32" x14ac:dyDescent="0.2">
      <c r="A5" s="682" t="s">
        <v>18</v>
      </c>
      <c r="B5" s="664">
        <f>C5+D5+E5+F5+I5+J5+M5+N5+O5+P5+Q5+U5+AA5+AC5</f>
        <v>68378.516837372183</v>
      </c>
      <c r="C5" s="450">
        <f>'IRI FR VT'!C4</f>
        <v>30880.589558019965</v>
      </c>
      <c r="D5" s="450">
        <f>'IRI FR EFF'!B4</f>
        <v>2032.8047740426905</v>
      </c>
      <c r="E5" s="572">
        <f>KANTAR!B4</f>
        <v>6572.0622347738608</v>
      </c>
      <c r="F5" s="789">
        <f>G5+H5</f>
        <v>2584.2404146287572</v>
      </c>
      <c r="G5" s="228">
        <f>'ANNEXE 1 Grille'!$B2*($F$28-$F$26)</f>
        <v>1766.8520045979001</v>
      </c>
      <c r="H5" s="227">
        <f>IF(G5&lt;&gt;0,$G$27/G$29,G5)</f>
        <v>817.38841003085713</v>
      </c>
      <c r="I5" s="789">
        <f>'PANEL CHR FRANCE'!B4</f>
        <v>2339.343276499937</v>
      </c>
      <c r="J5" s="789">
        <f t="shared" ref="J5:J26" si="0">K5+L5</f>
        <v>2034.4828831269697</v>
      </c>
      <c r="K5" s="228">
        <f>'ANNEXE 1 Grille'!$B2*($J$28-$J$26)</f>
        <v>1468.8793387393468</v>
      </c>
      <c r="L5" s="227">
        <f>IF(K5&lt;&gt;0,$K$27/K$29,K5)</f>
        <v>565.60354438762295</v>
      </c>
      <c r="M5" s="566">
        <f>'IRI UK'!B4+'IRI UK'!G4</f>
        <v>3856.0282009130292</v>
      </c>
      <c r="N5" s="572">
        <f>'IRI ALL'!B4</f>
        <v>2864.6470835919563</v>
      </c>
      <c r="O5" s="572">
        <f>'IRI PB'!B4</f>
        <v>3181.6332062745378</v>
      </c>
      <c r="P5" s="572">
        <f>GfK!B4</f>
        <v>1854.7664097364554</v>
      </c>
      <c r="Q5" s="572">
        <f>GfK!F4</f>
        <v>1433.228589341807</v>
      </c>
      <c r="R5" s="227">
        <f t="shared" ref="R5:R25" si="1">S5+T5</f>
        <v>0</v>
      </c>
      <c r="S5" s="227">
        <f>'ANNEXE 1 Grille'!B2*($R$28-$S$26)</f>
        <v>0</v>
      </c>
      <c r="T5" s="227">
        <f>IF(S5&lt;&gt;0,$S$27/$S$29,S5)</f>
        <v>0</v>
      </c>
      <c r="U5" s="789">
        <f>V5+W5</f>
        <v>1099.8139208583464</v>
      </c>
      <c r="V5" s="226">
        <f>$U$28*'ANNEXE 1 Grille'!B2</f>
        <v>714.84062219277985</v>
      </c>
      <c r="W5" s="227">
        <f>IF(V5&lt;&gt;0,$V$27/$V$29,V5)</f>
        <v>384.97329866556657</v>
      </c>
      <c r="X5" s="227">
        <f>Y5+Z5</f>
        <v>0</v>
      </c>
      <c r="Y5" s="226">
        <f>$X$28*'ANNEXE 1 Grille'!B2</f>
        <v>0</v>
      </c>
      <c r="Z5" s="227">
        <f>IF(Y5&lt;&gt;0,$Y$27/$Y$29,Y5)</f>
        <v>0</v>
      </c>
      <c r="AA5" s="809">
        <f>' DETAIL MONOPOLES'!B2</f>
        <v>0</v>
      </c>
      <c r="AB5" s="229">
        <v>7042.0413012929348</v>
      </c>
      <c r="AC5" s="572">
        <f t="shared" ref="AC5:AC26" si="2">(AD5+AE5)</f>
        <v>7644.8762855638652</v>
      </c>
      <c r="AD5" s="226">
        <f>'ANNEXE 1 Grille'!B2*$AC$28</f>
        <v>4746.5786631834326</v>
      </c>
      <c r="AE5" s="227">
        <f>IF(AD5&lt;&gt;0,$AD$27/AD$28,AD5)</f>
        <v>2898.2976223804321</v>
      </c>
      <c r="AF5" s="666">
        <v>0</v>
      </c>
    </row>
    <row r="6" spans="1:32" x14ac:dyDescent="0.2">
      <c r="A6" s="682" t="s">
        <v>19</v>
      </c>
      <c r="B6" s="664">
        <f t="shared" ref="B6:B25" si="3">C6+D6+E6+F6+I6+J6+M6+N6+O6+P6+Q6+U6+AA6+AC6</f>
        <v>37977.396181660988</v>
      </c>
      <c r="C6" s="450">
        <f>'IRI FR VT'!C5</f>
        <v>34962.677853428308</v>
      </c>
      <c r="D6" s="450">
        <f>'IRI FR EFF'!B5</f>
        <v>0</v>
      </c>
      <c r="E6" s="572">
        <f>KANTAR!B5</f>
        <v>0</v>
      </c>
      <c r="F6" s="789">
        <f t="shared" ref="F6:F24" si="4">G6+H6</f>
        <v>0</v>
      </c>
      <c r="G6" s="228"/>
      <c r="H6" s="227">
        <f t="shared" ref="H6:H24" si="5">IF(G6&lt;&gt;0,$G$27/G$29,G6)</f>
        <v>0</v>
      </c>
      <c r="I6" s="789">
        <f>'PANEL CHR FRANCE'!B5</f>
        <v>1534.1832164472937</v>
      </c>
      <c r="J6" s="789">
        <f t="shared" si="0"/>
        <v>1480.5351117853884</v>
      </c>
      <c r="K6" s="228">
        <f>'ANNEXE 1 Grille'!$B3*($J$28-$J$26)</f>
        <v>914.93156739776555</v>
      </c>
      <c r="L6" s="227">
        <f>IF(K6&lt;&gt;0,$K$27/K$29,K6)</f>
        <v>565.60354438762295</v>
      </c>
      <c r="M6" s="566">
        <f>'IRI UK'!B5+'IRI UK'!G5</f>
        <v>0</v>
      </c>
      <c r="N6" s="572">
        <f>'IRI ALL'!B5</f>
        <v>0</v>
      </c>
      <c r="O6" s="572">
        <f>'IRI PB'!B5</f>
        <v>0</v>
      </c>
      <c r="P6" s="572">
        <f>GfK!B5</f>
        <v>0</v>
      </c>
      <c r="Q6" s="572">
        <f>GfK!F5</f>
        <v>0</v>
      </c>
      <c r="R6" s="227">
        <f t="shared" si="1"/>
        <v>0</v>
      </c>
      <c r="S6" s="227">
        <f>'ANNEXE 1 Grille'!B3*($R$28-$S$26)</f>
        <v>0</v>
      </c>
      <c r="T6" s="227">
        <f t="shared" ref="T6:T25" si="6">IF(S6&lt;&gt;0,$S$27/$S$29,S6)</f>
        <v>0</v>
      </c>
      <c r="U6" s="789">
        <f t="shared" ref="U6:U21" si="7">V6+W6</f>
        <v>0</v>
      </c>
      <c r="V6" s="226"/>
      <c r="W6" s="227">
        <f t="shared" ref="W6:W25" si="8">IF(V6&lt;&gt;0,$V$27/$V$29,V6)</f>
        <v>0</v>
      </c>
      <c r="X6" s="227">
        <f t="shared" ref="X6:X26" si="9">Y6+Z6</f>
        <v>0</v>
      </c>
      <c r="Y6" s="226">
        <f>$X$28*'ANNEXE 1 Grille'!B3</f>
        <v>0</v>
      </c>
      <c r="Z6" s="227">
        <f t="shared" ref="Z6:Z25" si="10">IF(Y6&lt;&gt;0,$Y$27/$Y$29,Y6)</f>
        <v>0</v>
      </c>
      <c r="AA6" s="809">
        <f>' DETAIL MONOPOLES'!B3</f>
        <v>0</v>
      </c>
      <c r="AB6" s="229">
        <v>0</v>
      </c>
      <c r="AC6" s="572">
        <f t="shared" si="2"/>
        <v>0</v>
      </c>
      <c r="AD6" s="226"/>
      <c r="AE6" s="227">
        <f t="shared" ref="AE6:AE26" si="11">IF(AD6&lt;&gt;0,$AD$27/AD$28,AD6)</f>
        <v>0</v>
      </c>
      <c r="AF6" s="666">
        <v>0</v>
      </c>
    </row>
    <row r="7" spans="1:32" x14ac:dyDescent="0.2">
      <c r="A7" s="682" t="s">
        <v>20</v>
      </c>
      <c r="B7" s="664">
        <f t="shared" si="3"/>
        <v>26451.845869391662</v>
      </c>
      <c r="C7" s="450">
        <f>'IRI FR VT'!C6</f>
        <v>12488.284259874385</v>
      </c>
      <c r="D7" s="450">
        <f>'IRI FR EFF'!B6</f>
        <v>0</v>
      </c>
      <c r="E7" s="572">
        <f>KANTAR!B6</f>
        <v>3660.7349462579959</v>
      </c>
      <c r="F7" s="789">
        <f t="shared" si="4"/>
        <v>1380.790032666433</v>
      </c>
      <c r="G7" s="228">
        <f>'ANNEXE 1 Grille'!$B4*($F$28-$F$26)</f>
        <v>563.40162263557579</v>
      </c>
      <c r="H7" s="227">
        <f t="shared" si="5"/>
        <v>817.38841003085713</v>
      </c>
      <c r="I7" s="789">
        <f>'PANEL CHR FRANCE'!B6</f>
        <v>885.13188699588784</v>
      </c>
      <c r="J7" s="789">
        <f t="shared" si="0"/>
        <v>1033.9896914718308</v>
      </c>
      <c r="K7" s="228">
        <f>'ANNEXE 1 Grille'!$B4*($J$28-$J$26)</f>
        <v>468.38614708420795</v>
      </c>
      <c r="L7" s="227">
        <f>IF(K7&lt;&gt;0,$K$27/K$29,K7)</f>
        <v>565.60354438762295</v>
      </c>
      <c r="M7" s="566">
        <f>'IRI UK'!B6+'IRI UK'!G6</f>
        <v>1753.8668873708311</v>
      </c>
      <c r="N7" s="572">
        <f>'IRI ALL'!B6</f>
        <v>1302.9494085976139</v>
      </c>
      <c r="O7" s="572">
        <f>'IRI PB'!B6</f>
        <v>1763.8391186118179</v>
      </c>
      <c r="P7" s="572">
        <f>GfK!B6</f>
        <v>885.27033962255268</v>
      </c>
      <c r="Q7" s="572">
        <f>GfK!F6</f>
        <v>684.07253516288188</v>
      </c>
      <c r="R7" s="227">
        <f t="shared" si="1"/>
        <v>0</v>
      </c>
      <c r="S7" s="227">
        <f>'ANNEXE 1 Grille'!B4*($R$28-$S$26)</f>
        <v>0</v>
      </c>
      <c r="T7" s="227">
        <f t="shared" si="6"/>
        <v>0</v>
      </c>
      <c r="U7" s="789">
        <f t="shared" si="7"/>
        <v>612.91676275943269</v>
      </c>
      <c r="V7" s="226">
        <f>$U$28*'ANNEXE 1 Grille'!B4</f>
        <v>227.94346409386611</v>
      </c>
      <c r="W7" s="227">
        <f t="shared" si="8"/>
        <v>384.97329866556657</v>
      </c>
      <c r="X7" s="227">
        <f t="shared" si="9"/>
        <v>0</v>
      </c>
      <c r="Y7" s="226">
        <f>$X$28*'ANNEXE 1 Grille'!B4</f>
        <v>0</v>
      </c>
      <c r="Z7" s="227">
        <f t="shared" si="10"/>
        <v>0</v>
      </c>
      <c r="AA7" s="809">
        <f>' DETAIL MONOPOLES'!B4</f>
        <v>0</v>
      </c>
      <c r="AB7" s="229">
        <v>0</v>
      </c>
      <c r="AC7" s="572">
        <f t="shared" si="2"/>
        <v>0</v>
      </c>
      <c r="AD7" s="226"/>
      <c r="AE7" s="227">
        <f t="shared" si="11"/>
        <v>0</v>
      </c>
      <c r="AF7" s="666">
        <v>0</v>
      </c>
    </row>
    <row r="8" spans="1:32" x14ac:dyDescent="0.2">
      <c r="A8" s="682" t="s">
        <v>21</v>
      </c>
      <c r="B8" s="664">
        <f t="shared" si="3"/>
        <v>206973.16425426147</v>
      </c>
      <c r="C8" s="450">
        <f>'IRI FR VT'!C7</f>
        <v>97193.917171191104</v>
      </c>
      <c r="D8" s="450">
        <f>'IRI FR EFF'!B7</f>
        <v>4942.0236324027937</v>
      </c>
      <c r="E8" s="572">
        <f>KANTAR!B7</f>
        <v>17580.525458695371</v>
      </c>
      <c r="F8" s="789">
        <f t="shared" si="4"/>
        <v>7134.7900295434629</v>
      </c>
      <c r="G8" s="228">
        <f>'ANNEXE 1 Grille'!$B5*($F$28-$F$26)</f>
        <v>6317.401619512606</v>
      </c>
      <c r="H8" s="227">
        <f t="shared" si="5"/>
        <v>817.38841003085713</v>
      </c>
      <c r="I8" s="789">
        <f>'PANEL CHR FRANCE'!B7</f>
        <v>7838.0835467235584</v>
      </c>
      <c r="J8" s="789">
        <f t="shared" si="0"/>
        <v>5817.6001401819512</v>
      </c>
      <c r="K8" s="228">
        <f>'ANNEXE 1 Grille'!$B5*($J$28-$J$26)</f>
        <v>5251.9965957943286</v>
      </c>
      <c r="L8" s="227">
        <f>IF(K8&lt;&gt;0,$K$27/K$29,K8)</f>
        <v>565.60354438762295</v>
      </c>
      <c r="M8" s="566">
        <f>'IRI UK'!B7+'IRI UK'!G7</f>
        <v>14710.975472105205</v>
      </c>
      <c r="N8" s="572">
        <f>'IRI ALL'!B7</f>
        <v>8769.820126098979</v>
      </c>
      <c r="O8" s="572">
        <f>'IRI PB'!B7</f>
        <v>8542.670467421809</v>
      </c>
      <c r="P8" s="572">
        <f>GfK!B7</f>
        <v>5520.6757273474059</v>
      </c>
      <c r="Q8" s="572">
        <f>GfK!F7</f>
        <v>4265.9766984048147</v>
      </c>
      <c r="R8" s="227">
        <f t="shared" si="1"/>
        <v>0</v>
      </c>
      <c r="S8" s="227">
        <f>'ANNEXE 1 Grille'!B5*($R$28-$S$26)</f>
        <v>0</v>
      </c>
      <c r="T8" s="227">
        <f t="shared" si="6"/>
        <v>0</v>
      </c>
      <c r="U8" s="789">
        <f t="shared" si="7"/>
        <v>2940.8949562702751</v>
      </c>
      <c r="V8" s="226">
        <f>$U$28*'ANNEXE 1 Grille'!B5</f>
        <v>2555.9216576047083</v>
      </c>
      <c r="W8" s="227">
        <f t="shared" si="8"/>
        <v>384.97329866556657</v>
      </c>
      <c r="X8" s="227">
        <f t="shared" si="9"/>
        <v>0</v>
      </c>
      <c r="Y8" s="226">
        <f>$X$28*'ANNEXE 1 Grille'!B5</f>
        <v>0</v>
      </c>
      <c r="Z8" s="227">
        <f t="shared" si="10"/>
        <v>0</v>
      </c>
      <c r="AA8" s="809">
        <f>' DETAIL MONOPOLES'!B5</f>
        <v>1845.4613487988984</v>
      </c>
      <c r="AB8" s="229">
        <v>18208.119132635165</v>
      </c>
      <c r="AC8" s="572">
        <f t="shared" si="2"/>
        <v>19869.749479075821</v>
      </c>
      <c r="AD8" s="226">
        <f>'ANNEXE 1 Grille'!B5*$AC$28</f>
        <v>16971.451856695388</v>
      </c>
      <c r="AE8" s="227">
        <f t="shared" si="11"/>
        <v>2898.2976223804321</v>
      </c>
      <c r="AF8" s="666">
        <v>0</v>
      </c>
    </row>
    <row r="9" spans="1:32" x14ac:dyDescent="0.2">
      <c r="A9" s="682" t="s">
        <v>22</v>
      </c>
      <c r="B9" s="664">
        <f t="shared" si="3"/>
        <v>92537.40066520375</v>
      </c>
      <c r="C9" s="450">
        <f>'IRI FR VT'!C8</f>
        <v>30880.589558019965</v>
      </c>
      <c r="D9" s="450">
        <f>'IRI FR EFF'!B8</f>
        <v>2859.2389323496454</v>
      </c>
      <c r="E9" s="572">
        <f>KANTAR!B8</f>
        <v>9699.2831423967946</v>
      </c>
      <c r="F9" s="789">
        <f t="shared" si="4"/>
        <v>3876.9343726749248</v>
      </c>
      <c r="G9" s="228">
        <f>'ANNEXE 1 Grille'!$B6*($F$28-$F$26)</f>
        <v>3059.5459626440675</v>
      </c>
      <c r="H9" s="227">
        <f t="shared" si="5"/>
        <v>817.38841003085713</v>
      </c>
      <c r="I9" s="789">
        <f>'PANEL CHR FRANCE'!B8</f>
        <v>3901.3937815390864</v>
      </c>
      <c r="J9" s="789">
        <f t="shared" si="0"/>
        <v>3109.1690715263962</v>
      </c>
      <c r="K9" s="228">
        <f>'ANNEXE 1 Grille'!$B6*($J$28-$J$26)</f>
        <v>2543.5655271387732</v>
      </c>
      <c r="L9" s="227">
        <f t="shared" ref="L9:L11" si="12">IF(K9&lt;&gt;0,$K$27/K$29,K9)</f>
        <v>565.60354438762295</v>
      </c>
      <c r="M9" s="566">
        <f>'IRI UK'!B8+'IRI UK'!G8</f>
        <v>9020.2230907676822</v>
      </c>
      <c r="N9" s="572">
        <f>'IRI ALL'!B8</f>
        <v>4542.1546726195311</v>
      </c>
      <c r="O9" s="572">
        <f>'IRI PB'!B8</f>
        <v>4704.5658326173771</v>
      </c>
      <c r="P9" s="572">
        <f>GfK!B8</f>
        <v>2896.1568409249853</v>
      </c>
      <c r="Q9" s="572">
        <f>GfK!F8</f>
        <v>2237.9393770783981</v>
      </c>
      <c r="R9" s="227">
        <f t="shared" si="1"/>
        <v>0</v>
      </c>
      <c r="S9" s="227">
        <f>'ANNEXE 1 Grille'!B6*($R$28-$S$26)</f>
        <v>0</v>
      </c>
      <c r="T9" s="227">
        <f t="shared" si="6"/>
        <v>0</v>
      </c>
      <c r="U9" s="789">
        <f t="shared" si="7"/>
        <v>1622.8176307728445</v>
      </c>
      <c r="V9" s="226">
        <f>$U$28*'ANNEXE 1 Grille'!B6</f>
        <v>1237.844332107278</v>
      </c>
      <c r="W9" s="227">
        <f t="shared" si="8"/>
        <v>384.97329866556657</v>
      </c>
      <c r="X9" s="227">
        <f t="shared" si="9"/>
        <v>0</v>
      </c>
      <c r="Y9" s="226">
        <f>$X$28*'ANNEXE 1 Grille'!B6</f>
        <v>0</v>
      </c>
      <c r="Z9" s="227">
        <f t="shared" si="10"/>
        <v>0</v>
      </c>
      <c r="AA9" s="809">
        <f>' DETAIL MONOPOLES'!B6</f>
        <v>2069.2864218386871</v>
      </c>
      <c r="AB9" s="229">
        <v>10198.781552749755</v>
      </c>
      <c r="AC9" s="572">
        <f t="shared" si="2"/>
        <v>11117.647940077441</v>
      </c>
      <c r="AD9" s="226">
        <f>'ANNEXE 1 Grille'!B6*$AC$28</f>
        <v>8219.350317697008</v>
      </c>
      <c r="AE9" s="227">
        <f t="shared" si="11"/>
        <v>2898.2976223804321</v>
      </c>
      <c r="AF9" s="667">
        <v>0</v>
      </c>
    </row>
    <row r="10" spans="1:32" x14ac:dyDescent="0.2">
      <c r="A10" s="682" t="s">
        <v>23</v>
      </c>
      <c r="B10" s="664">
        <f t="shared" si="3"/>
        <v>11598.476326325806</v>
      </c>
      <c r="C10" s="450">
        <f>'IRI FR VT'!C9</f>
        <v>1731.1351952834884</v>
      </c>
      <c r="D10" s="450">
        <f>'IRI FR EFF'!B9</f>
        <v>0</v>
      </c>
      <c r="E10" s="572">
        <f>KANTAR!B9</f>
        <v>2720.3197095194196</v>
      </c>
      <c r="F10" s="789">
        <f t="shared" si="4"/>
        <v>992.05219466362655</v>
      </c>
      <c r="G10" s="228">
        <f>'ANNEXE 1 Grille'!$B7*($F$28-$F$26)</f>
        <v>174.66378463276939</v>
      </c>
      <c r="H10" s="227">
        <f t="shared" si="5"/>
        <v>817.38841003085713</v>
      </c>
      <c r="I10" s="789">
        <f>'PANEL CHR FRANCE'!B9</f>
        <v>415.39337510719508</v>
      </c>
      <c r="J10" s="789">
        <f t="shared" si="0"/>
        <v>710.8109662913505</v>
      </c>
      <c r="K10" s="228">
        <f>'ANNEXE 1 Grille'!$B7*($J$28-$J$26)</f>
        <v>145.20742190372752</v>
      </c>
      <c r="L10" s="227">
        <f t="shared" si="12"/>
        <v>565.60354438762295</v>
      </c>
      <c r="M10" s="566">
        <f>'IRI UK'!B9+'IRI UK'!G9</f>
        <v>1074.8279702639711</v>
      </c>
      <c r="N10" s="572">
        <f>'IRI ALL'!B9</f>
        <v>798.49073968149389</v>
      </c>
      <c r="O10" s="572">
        <f>'IRI PB'!B9</f>
        <v>1305.86410224889</v>
      </c>
      <c r="P10" s="572">
        <f>GfK!B9</f>
        <v>572.10428649972891</v>
      </c>
      <c r="Q10" s="572">
        <f>GfK!F9</f>
        <v>442.08058502251788</v>
      </c>
      <c r="R10" s="227">
        <f t="shared" si="1"/>
        <v>0</v>
      </c>
      <c r="S10" s="227">
        <f>'ANNEXE 1 Grille'!B7*($R$28-$S$26)</f>
        <v>0</v>
      </c>
      <c r="T10" s="227">
        <f t="shared" si="6"/>
        <v>0</v>
      </c>
      <c r="U10" s="789">
        <f t="shared" si="7"/>
        <v>455.6395277308863</v>
      </c>
      <c r="V10" s="226">
        <f>$U$28*'ANNEXE 1 Grille'!B7</f>
        <v>70.66622906531974</v>
      </c>
      <c r="W10" s="227">
        <f t="shared" si="8"/>
        <v>384.97329866556657</v>
      </c>
      <c r="X10" s="227">
        <f t="shared" si="9"/>
        <v>0</v>
      </c>
      <c r="Y10" s="226">
        <f>$X$28*'ANNEXE 1 Grille'!B7</f>
        <v>0</v>
      </c>
      <c r="Z10" s="227">
        <f t="shared" si="10"/>
        <v>0</v>
      </c>
      <c r="AA10" s="809">
        <f>' DETAIL MONOPOLES'!B7</f>
        <v>379.75767401324043</v>
      </c>
      <c r="AB10" s="229">
        <v>0</v>
      </c>
      <c r="AC10" s="572">
        <f t="shared" si="2"/>
        <v>0</v>
      </c>
      <c r="AD10" s="226"/>
      <c r="AE10" s="227">
        <f t="shared" si="11"/>
        <v>0</v>
      </c>
      <c r="AF10" s="667">
        <v>0</v>
      </c>
    </row>
    <row r="11" spans="1:32" x14ac:dyDescent="0.2">
      <c r="A11" s="682" t="s">
        <v>24</v>
      </c>
      <c r="B11" s="664">
        <f t="shared" si="3"/>
        <v>2470.0108488509532</v>
      </c>
      <c r="C11" s="450">
        <f>'IRI FR VT'!C10</f>
        <v>0</v>
      </c>
      <c r="D11" s="450">
        <f>'IRI FR EFF'!B10</f>
        <v>0</v>
      </c>
      <c r="E11" s="572">
        <f>KANTAR!B10</f>
        <v>0</v>
      </c>
      <c r="F11" s="789">
        <f t="shared" si="4"/>
        <v>0</v>
      </c>
      <c r="G11" s="228"/>
      <c r="H11" s="227">
        <f t="shared" si="5"/>
        <v>0</v>
      </c>
      <c r="I11" s="789">
        <f>'PANEL CHR FRANCE'!B10</f>
        <v>1211.488654117969</v>
      </c>
      <c r="J11" s="789">
        <f t="shared" si="0"/>
        <v>1258.522194732984</v>
      </c>
      <c r="K11" s="228">
        <f>'ANNEXE 1 Grille'!$B8*($J$28-$J$26)</f>
        <v>692.91865034536102</v>
      </c>
      <c r="L11" s="227">
        <f t="shared" si="12"/>
        <v>565.60354438762295</v>
      </c>
      <c r="M11" s="566">
        <f>'IRI UK'!B10+'IRI UK'!G10</f>
        <v>0</v>
      </c>
      <c r="N11" s="572">
        <f>'IRI ALL'!B10</f>
        <v>0</v>
      </c>
      <c r="O11" s="572">
        <f>'IRI PB'!B10</f>
        <v>0</v>
      </c>
      <c r="P11" s="572">
        <f>GfK!B10</f>
        <v>0</v>
      </c>
      <c r="Q11" s="572">
        <f>GfK!F10</f>
        <v>0</v>
      </c>
      <c r="R11" s="227">
        <f t="shared" si="1"/>
        <v>0</v>
      </c>
      <c r="S11" s="227"/>
      <c r="T11" s="227">
        <f t="shared" si="6"/>
        <v>0</v>
      </c>
      <c r="U11" s="789">
        <f t="shared" si="7"/>
        <v>0</v>
      </c>
      <c r="V11" s="226"/>
      <c r="W11" s="227">
        <f t="shared" si="8"/>
        <v>0</v>
      </c>
      <c r="X11" s="227">
        <f t="shared" si="9"/>
        <v>0</v>
      </c>
      <c r="Y11" s="226">
        <f>$X$28*'ANNEXE 1 Grille'!B8</f>
        <v>0</v>
      </c>
      <c r="Z11" s="227">
        <f t="shared" si="10"/>
        <v>0</v>
      </c>
      <c r="AA11" s="809">
        <f>' DETAIL MONOPOLES'!B8</f>
        <v>0</v>
      </c>
      <c r="AB11" s="229">
        <v>0</v>
      </c>
      <c r="AC11" s="572">
        <f t="shared" si="2"/>
        <v>0</v>
      </c>
      <c r="AD11" s="226"/>
      <c r="AE11" s="227">
        <f t="shared" si="11"/>
        <v>0</v>
      </c>
      <c r="AF11" s="667">
        <v>0</v>
      </c>
    </row>
    <row r="12" spans="1:32" x14ac:dyDescent="0.2">
      <c r="A12" s="682" t="s">
        <v>25</v>
      </c>
      <c r="B12" s="664">
        <f t="shared" si="3"/>
        <v>618.66874121756246</v>
      </c>
      <c r="C12" s="450">
        <f>'IRI FR VT'!C11</f>
        <v>0</v>
      </c>
      <c r="D12" s="450">
        <f>'IRI FR EFF'!B11</f>
        <v>0</v>
      </c>
      <c r="E12" s="572">
        <f>KANTAR!B11</f>
        <v>0</v>
      </c>
      <c r="F12" s="789">
        <f t="shared" si="4"/>
        <v>0</v>
      </c>
      <c r="G12" s="228"/>
      <c r="H12" s="227">
        <f t="shared" si="5"/>
        <v>0</v>
      </c>
      <c r="I12" s="789">
        <f>'PANEL CHR FRANCE'!B11</f>
        <v>618.66874121756246</v>
      </c>
      <c r="J12" s="789">
        <f t="shared" si="0"/>
        <v>0</v>
      </c>
      <c r="K12" s="228"/>
      <c r="L12" s="227">
        <f>IF(K12&lt;&gt;0,$K$27/J$28,K12)</f>
        <v>0</v>
      </c>
      <c r="M12" s="566">
        <f>'IRI UK'!B11+'IRI UK'!G11</f>
        <v>0</v>
      </c>
      <c r="N12" s="572">
        <f>'IRI ALL'!B11</f>
        <v>0</v>
      </c>
      <c r="O12" s="572">
        <f>'IRI PB'!B11</f>
        <v>0</v>
      </c>
      <c r="P12" s="572">
        <f>GfK!B11</f>
        <v>0</v>
      </c>
      <c r="Q12" s="572">
        <f>GfK!F11</f>
        <v>0</v>
      </c>
      <c r="R12" s="227">
        <f t="shared" si="1"/>
        <v>0</v>
      </c>
      <c r="S12" s="227"/>
      <c r="T12" s="227">
        <f t="shared" si="6"/>
        <v>0</v>
      </c>
      <c r="U12" s="789">
        <f t="shared" si="7"/>
        <v>0</v>
      </c>
      <c r="V12" s="226"/>
      <c r="W12" s="227">
        <f t="shared" si="8"/>
        <v>0</v>
      </c>
      <c r="X12" s="227">
        <f t="shared" si="9"/>
        <v>0</v>
      </c>
      <c r="Y12" s="226"/>
      <c r="Z12" s="227">
        <f t="shared" si="10"/>
        <v>0</v>
      </c>
      <c r="AA12" s="809">
        <f>' DETAIL MONOPOLES'!B9</f>
        <v>0</v>
      </c>
      <c r="AB12" s="229">
        <v>0</v>
      </c>
      <c r="AC12" s="572">
        <f t="shared" si="2"/>
        <v>0</v>
      </c>
      <c r="AD12" s="226"/>
      <c r="AE12" s="227">
        <f t="shared" si="11"/>
        <v>0</v>
      </c>
      <c r="AF12" s="667">
        <v>0</v>
      </c>
    </row>
    <row r="13" spans="1:32" x14ac:dyDescent="0.2">
      <c r="A13" s="682" t="s">
        <v>26</v>
      </c>
      <c r="B13" s="664">
        <f t="shared" si="3"/>
        <v>86209.149859677244</v>
      </c>
      <c r="C13" s="450">
        <f>'IRI FR VT'!C12</f>
        <v>0</v>
      </c>
      <c r="D13" s="450">
        <f>'IRI FR EFF'!B12</f>
        <v>4719.8807049871311</v>
      </c>
      <c r="E13" s="572">
        <f>KANTAR!B12</f>
        <v>16739.938219999942</v>
      </c>
      <c r="F13" s="789">
        <f t="shared" si="4"/>
        <v>6787.3179203542677</v>
      </c>
      <c r="G13" s="228">
        <f>'ANNEXE 1 Grille'!$B10*($F$28-$F$26)</f>
        <v>5969.9295103234108</v>
      </c>
      <c r="H13" s="227">
        <f t="shared" si="5"/>
        <v>817.38841003085713</v>
      </c>
      <c r="I13" s="789">
        <f>'PANEL CHR FRANCE'!B12</f>
        <v>7418.209236746613</v>
      </c>
      <c r="J13" s="789">
        <f t="shared" si="0"/>
        <v>0</v>
      </c>
      <c r="K13" s="228"/>
      <c r="L13" s="227">
        <f>IF(K13&lt;&gt;0,$K$27/J$28,K13)</f>
        <v>0</v>
      </c>
      <c r="M13" s="566">
        <f>'IRI UK'!B12+'IRI UK'!G12</f>
        <v>11197.873833093165</v>
      </c>
      <c r="N13" s="572">
        <f>'IRI ALL'!B12</f>
        <v>8318.9113115940399</v>
      </c>
      <c r="O13" s="572">
        <f>'IRI PB'!B12</f>
        <v>0</v>
      </c>
      <c r="P13" s="572">
        <f>GfK!B12</f>
        <v>5240.7532233686252</v>
      </c>
      <c r="Q13" s="572">
        <f>GfK!F12</f>
        <v>4049.6729453303028</v>
      </c>
      <c r="R13" s="227">
        <f t="shared" si="1"/>
        <v>0</v>
      </c>
      <c r="S13" s="227"/>
      <c r="T13" s="227">
        <f t="shared" si="6"/>
        <v>0</v>
      </c>
      <c r="U13" s="789">
        <f t="shared" si="7"/>
        <v>2800.3131881985514</v>
      </c>
      <c r="V13" s="226">
        <f>$U$28*'ANNEXE 1 Grille'!B10</f>
        <v>2415.3398895329847</v>
      </c>
      <c r="W13" s="227">
        <f t="shared" si="8"/>
        <v>384.97329866556657</v>
      </c>
      <c r="X13" s="227">
        <f t="shared" si="9"/>
        <v>0</v>
      </c>
      <c r="Y13" s="226">
        <f>$X$28*'ANNEXE 1 Grille'!B10</f>
        <v>0</v>
      </c>
      <c r="Z13" s="227">
        <f t="shared" si="10"/>
        <v>0</v>
      </c>
      <c r="AA13" s="809">
        <f>' DETAIL MONOPOLES'!B10</f>
        <v>0</v>
      </c>
      <c r="AB13" s="229">
        <v>17356.145084006781</v>
      </c>
      <c r="AC13" s="572">
        <f t="shared" si="2"/>
        <v>18936.279276004607</v>
      </c>
      <c r="AD13" s="226">
        <f>'ANNEXE 1 Grille'!B10*$AC$28</f>
        <v>16037.981653624176</v>
      </c>
      <c r="AE13" s="227">
        <f t="shared" si="11"/>
        <v>2898.2976223804321</v>
      </c>
      <c r="AF13" s="667">
        <v>0</v>
      </c>
    </row>
    <row r="14" spans="1:32" x14ac:dyDescent="0.2">
      <c r="A14" s="682" t="s">
        <v>27</v>
      </c>
      <c r="B14" s="664">
        <f t="shared" si="3"/>
        <v>92721.388992869819</v>
      </c>
      <c r="C14" s="450">
        <f>'IRI FR VT'!C13</f>
        <v>31356.628324470512</v>
      </c>
      <c r="D14" s="450">
        <f>'IRI FR EFF'!B13</f>
        <v>2879.0833014185882</v>
      </c>
      <c r="E14" s="572">
        <f>KANTAR!B13</f>
        <v>9774.3740921442204</v>
      </c>
      <c r="F14" s="789">
        <f t="shared" si="4"/>
        <v>3907.9745901427177</v>
      </c>
      <c r="G14" s="228">
        <f>'ANNEXE 1 Grille'!$B11*($F$28-$F$26)</f>
        <v>3090.5861801118604</v>
      </c>
      <c r="H14" s="227">
        <f t="shared" si="5"/>
        <v>817.38841003085713</v>
      </c>
      <c r="I14" s="789">
        <f>'PANEL CHR FRANCE'!B13</f>
        <v>3938.9017988623632</v>
      </c>
      <c r="J14" s="789">
        <f t="shared" si="0"/>
        <v>3134.9744779723051</v>
      </c>
      <c r="K14" s="228">
        <f>'ANNEXE 1 Grille'!$B11*($J$28-$J$26)</f>
        <v>2569.370933584682</v>
      </c>
      <c r="L14" s="227">
        <f t="shared" ref="L14:L15" si="13">IF(K14&lt;&gt;0,$K$27/K$29,K14)</f>
        <v>565.60354438762295</v>
      </c>
      <c r="M14" s="566">
        <f>'IRI UK'!B13+'IRI UK'!G13</f>
        <v>9074.4434768365554</v>
      </c>
      <c r="N14" s="572">
        <f>'IRI ALL'!B13</f>
        <v>4582.4350499224392</v>
      </c>
      <c r="O14" s="572">
        <f>'IRI PB'!B13</f>
        <v>4741.1345499199069</v>
      </c>
      <c r="P14" s="572">
        <f>GfK!B13</f>
        <v>2921.162748357111</v>
      </c>
      <c r="Q14" s="572">
        <f>GfK!F13</f>
        <v>2257.2621237304952</v>
      </c>
      <c r="R14" s="227">
        <f t="shared" si="1"/>
        <v>0</v>
      </c>
      <c r="S14" s="227">
        <f>'ANNEXE 1 Grille'!B11*($R$28-$S$26)</f>
        <v>0</v>
      </c>
      <c r="T14" s="227">
        <f t="shared" si="6"/>
        <v>0</v>
      </c>
      <c r="U14" s="789">
        <f t="shared" si="7"/>
        <v>1635.3760161440775</v>
      </c>
      <c r="V14" s="226">
        <f>$U$28*'ANNEXE 1 Grille'!B11</f>
        <v>1250.402717478511</v>
      </c>
      <c r="W14" s="227">
        <f t="shared" si="8"/>
        <v>384.97329866556657</v>
      </c>
      <c r="X14" s="227">
        <f t="shared" si="9"/>
        <v>0</v>
      </c>
      <c r="Y14" s="226">
        <f>$X$28*'ANNEXE 1 Grille'!B11</f>
        <v>0</v>
      </c>
      <c r="Z14" s="227">
        <f t="shared" si="10"/>
        <v>0</v>
      </c>
      <c r="AA14" s="809">
        <f>' DETAIL MONOPOLES'!B11</f>
        <v>1316.6021751844492</v>
      </c>
      <c r="AB14" s="229">
        <v>10187.094534628401</v>
      </c>
      <c r="AC14" s="572">
        <f t="shared" si="2"/>
        <v>11201.036267764077</v>
      </c>
      <c r="AD14" s="226">
        <f>'ANNEXE 1 Grille'!B11*$AC$28</f>
        <v>8302.7386453836443</v>
      </c>
      <c r="AE14" s="227">
        <f t="shared" si="11"/>
        <v>2898.2976223804321</v>
      </c>
      <c r="AF14" s="667">
        <v>0</v>
      </c>
    </row>
    <row r="15" spans="1:32" x14ac:dyDescent="0.2">
      <c r="A15" s="682" t="s">
        <v>28</v>
      </c>
      <c r="B15" s="664">
        <f>C15+D15+E15+F15+I15+J15+M15+N15+O15+P15+Q15+U15+AA15+AC15</f>
        <v>102640.49599504133</v>
      </c>
      <c r="C15" s="450">
        <f>'IRI FR VT'!C14</f>
        <v>45985.321966734518</v>
      </c>
      <c r="D15" s="450">
        <f>'IRI FR EFF'!B14</f>
        <v>2648.817586693599</v>
      </c>
      <c r="E15" s="572">
        <f>KANTAR!B14</f>
        <v>8903.0502847257139</v>
      </c>
      <c r="F15" s="789">
        <f t="shared" si="4"/>
        <v>3547.7969581097277</v>
      </c>
      <c r="G15" s="228">
        <f>'ANNEXE 1 Grille'!$B12*($F$28-$F$26)</f>
        <v>2730.4085480788704</v>
      </c>
      <c r="H15" s="227">
        <f t="shared" si="5"/>
        <v>817.38841003085713</v>
      </c>
      <c r="I15" s="789">
        <f>'PANEL CHR FRANCE'!B14</f>
        <v>3503.6745368186093</v>
      </c>
      <c r="J15" s="789">
        <f t="shared" si="0"/>
        <v>2835.5393919591306</v>
      </c>
      <c r="K15" s="228">
        <f>'ANNEXE 1 Grille'!$B12*($J$28-$J$26)</f>
        <v>2269.9358475715076</v>
      </c>
      <c r="L15" s="227">
        <f t="shared" si="13"/>
        <v>565.60354438762295</v>
      </c>
      <c r="M15" s="566">
        <f>'IRI UK'!B14+'IRI UK'!G14</f>
        <v>8445.2929149094489</v>
      </c>
      <c r="N15" s="572">
        <f>'IRI ALL'!B14</f>
        <v>4115.0384883677334</v>
      </c>
      <c r="O15" s="572">
        <f>'IRI PB'!B14</f>
        <v>4316.8065303699341</v>
      </c>
      <c r="P15" s="572">
        <f>GfK!B14</f>
        <v>2631.0047127349603</v>
      </c>
      <c r="Q15" s="572">
        <f>GfK!F14</f>
        <v>2033.0490962042879</v>
      </c>
      <c r="R15" s="227">
        <f t="shared" si="1"/>
        <v>0</v>
      </c>
      <c r="S15" s="227">
        <f>'ANNEXE 1 Grille'!B12*($R$28-$S$26)</f>
        <v>0</v>
      </c>
      <c r="T15" s="227">
        <f t="shared" si="6"/>
        <v>0</v>
      </c>
      <c r="U15" s="789">
        <f t="shared" si="7"/>
        <v>1489.6537927137233</v>
      </c>
      <c r="V15" s="226">
        <f>$U$28*'ANNEXE 1 Grille'!B12</f>
        <v>1104.6804940481568</v>
      </c>
      <c r="W15" s="227">
        <f t="shared" si="8"/>
        <v>384.97329866556657</v>
      </c>
      <c r="X15" s="227">
        <f t="shared" si="9"/>
        <v>0</v>
      </c>
      <c r="Y15" s="226">
        <f>$X$28*'ANNEXE 1 Grille'!B12</f>
        <v>0</v>
      </c>
      <c r="Z15" s="227">
        <f t="shared" si="10"/>
        <v>0</v>
      </c>
      <c r="AA15" s="809">
        <f>' DETAIL MONOPOLES'!B12</f>
        <v>1952.0165591670016</v>
      </c>
      <c r="AB15" s="229">
        <v>9436.1574454954534</v>
      </c>
      <c r="AC15" s="572">
        <f t="shared" si="2"/>
        <v>10233.433175532933</v>
      </c>
      <c r="AD15" s="226">
        <f>'ANNEXE 1 Grille'!B12*$AC$28</f>
        <v>7335.1355531525005</v>
      </c>
      <c r="AE15" s="227">
        <f t="shared" si="11"/>
        <v>2898.2976223804321</v>
      </c>
      <c r="AF15" s="667">
        <v>0</v>
      </c>
    </row>
    <row r="16" spans="1:32" x14ac:dyDescent="0.2">
      <c r="A16" s="682" t="s">
        <v>29</v>
      </c>
      <c r="B16" s="664">
        <f t="shared" si="3"/>
        <v>414.90625753214351</v>
      </c>
      <c r="C16" s="450">
        <f>'IRI FR VT'!C15</f>
        <v>0</v>
      </c>
      <c r="D16" s="450">
        <f>'IRI FR EFF'!B15</f>
        <v>0</v>
      </c>
      <c r="E16" s="572">
        <f>KANTAR!B15</f>
        <v>0</v>
      </c>
      <c r="F16" s="789">
        <f t="shared" si="4"/>
        <v>0</v>
      </c>
      <c r="G16" s="228"/>
      <c r="H16" s="227">
        <f t="shared" si="5"/>
        <v>0</v>
      </c>
      <c r="I16" s="789">
        <f>'PANEL CHR FRANCE'!B15</f>
        <v>414.90625753214351</v>
      </c>
      <c r="J16" s="789">
        <f t="shared" si="0"/>
        <v>0</v>
      </c>
      <c r="K16" s="228"/>
      <c r="L16" s="227">
        <f>IF(K16&lt;&gt;0,$K$27/J$28,K16)</f>
        <v>0</v>
      </c>
      <c r="M16" s="566">
        <f>'IRI UK'!B15+'IRI UK'!G15</f>
        <v>0</v>
      </c>
      <c r="N16" s="572">
        <f>'IRI ALL'!B15</f>
        <v>0</v>
      </c>
      <c r="O16" s="572">
        <f>'IRI PB'!B15</f>
        <v>0</v>
      </c>
      <c r="P16" s="572">
        <f>GfK!B15</f>
        <v>0</v>
      </c>
      <c r="Q16" s="572">
        <f>GfK!F15</f>
        <v>0</v>
      </c>
      <c r="R16" s="227">
        <f t="shared" si="1"/>
        <v>0</v>
      </c>
      <c r="S16" s="227"/>
      <c r="T16" s="227">
        <f t="shared" si="6"/>
        <v>0</v>
      </c>
      <c r="U16" s="789">
        <f t="shared" si="7"/>
        <v>0</v>
      </c>
      <c r="V16" s="226"/>
      <c r="W16" s="227">
        <f t="shared" si="8"/>
        <v>0</v>
      </c>
      <c r="X16" s="227">
        <f t="shared" si="9"/>
        <v>0</v>
      </c>
      <c r="Y16" s="226"/>
      <c r="Z16" s="227">
        <f t="shared" si="10"/>
        <v>0</v>
      </c>
      <c r="AA16" s="809">
        <f>' DETAIL MONOPOLES'!B13</f>
        <v>0</v>
      </c>
      <c r="AB16" s="229">
        <v>0</v>
      </c>
      <c r="AC16" s="572">
        <f t="shared" si="2"/>
        <v>0</v>
      </c>
      <c r="AD16" s="226"/>
      <c r="AE16" s="227">
        <f t="shared" si="11"/>
        <v>0</v>
      </c>
      <c r="AF16" s="667">
        <v>0</v>
      </c>
    </row>
    <row r="17" spans="1:32" x14ac:dyDescent="0.2">
      <c r="A17" s="682" t="s">
        <v>30</v>
      </c>
      <c r="B17" s="664">
        <f t="shared" si="3"/>
        <v>55625.922802293979</v>
      </c>
      <c r="C17" s="450">
        <f>'IRI FR VT'!C16</f>
        <v>20636.816384187998</v>
      </c>
      <c r="D17" s="450">
        <f>'IRI FR EFF'!B16</f>
        <v>0</v>
      </c>
      <c r="E17" s="572">
        <f>KANTAR!B16</f>
        <v>6151.3089413697708</v>
      </c>
      <c r="F17" s="789">
        <f t="shared" si="4"/>
        <v>2410.3143453556636</v>
      </c>
      <c r="G17" s="228">
        <f>'ANNEXE 1 Grille'!$B14*($F$28-$F$26)</f>
        <v>1592.9259353248065</v>
      </c>
      <c r="H17" s="227">
        <f t="shared" si="5"/>
        <v>817.38841003085713</v>
      </c>
      <c r="I17" s="789">
        <f>'PANEL CHR FRANCE'!B16</f>
        <v>2129.1765137820694</v>
      </c>
      <c r="J17" s="789">
        <f t="shared" si="0"/>
        <v>1889.8887637787921</v>
      </c>
      <c r="K17" s="228">
        <f>'ANNEXE 1 Grille'!$B14*($J$28-$J$26)</f>
        <v>1324.2852193911692</v>
      </c>
      <c r="L17" s="227">
        <f t="shared" ref="L17:L21" si="14">IF(K17&lt;&gt;0,$K$27/K$29,K17)</f>
        <v>565.60354438762295</v>
      </c>
      <c r="M17" s="566">
        <f>'IRI UK'!B16+'IRI UK'!G16</f>
        <v>3999.3170755960791</v>
      </c>
      <c r="N17" s="572">
        <f>'IRI ALL'!B16</f>
        <v>2638.9460974309841</v>
      </c>
      <c r="O17" s="572">
        <f>'IRI PB'!B16</f>
        <v>2976.7295755126929</v>
      </c>
      <c r="P17" s="572">
        <f>GfK!B16</f>
        <v>1714.652082483783</v>
      </c>
      <c r="Q17" s="572">
        <f>GfK!F16</f>
        <v>1324.9584273738328</v>
      </c>
      <c r="R17" s="227">
        <f t="shared" si="1"/>
        <v>0</v>
      </c>
      <c r="S17" s="227">
        <f>'ANNEXE 1 Grille'!B14*($R$28-$S$26)</f>
        <v>0</v>
      </c>
      <c r="T17" s="227">
        <f t="shared" si="6"/>
        <v>0</v>
      </c>
      <c r="U17" s="789">
        <f t="shared" si="7"/>
        <v>1029.4461598624175</v>
      </c>
      <c r="V17" s="226">
        <f>$U$28*'ANNEXE 1 Grille'!B14</f>
        <v>644.472861196851</v>
      </c>
      <c r="W17" s="227">
        <f t="shared" si="8"/>
        <v>384.97329866556657</v>
      </c>
      <c r="X17" s="227">
        <f t="shared" si="9"/>
        <v>0</v>
      </c>
      <c r="Y17" s="226">
        <f>$X$28*'ANNEXE 1 Grille'!B14</f>
        <v>0</v>
      </c>
      <c r="Z17" s="227">
        <f t="shared" si="10"/>
        <v>0</v>
      </c>
      <c r="AA17" s="809">
        <f>' DETAIL MONOPOLES'!B14</f>
        <v>1546.7377185182854</v>
      </c>
      <c r="AB17" s="229">
        <v>6590.713410630784</v>
      </c>
      <c r="AC17" s="572">
        <f t="shared" si="2"/>
        <v>7177.6307170416112</v>
      </c>
      <c r="AD17" s="226">
        <f>'ANNEXE 1 Grille'!B14*$AC$28</f>
        <v>4279.3330946611786</v>
      </c>
      <c r="AE17" s="227">
        <f t="shared" si="11"/>
        <v>2898.2976223804321</v>
      </c>
      <c r="AF17" s="667">
        <v>0</v>
      </c>
    </row>
    <row r="18" spans="1:32" x14ac:dyDescent="0.2">
      <c r="A18" s="682" t="s">
        <v>31</v>
      </c>
      <c r="B18" s="664">
        <f t="shared" si="3"/>
        <v>115891.04528556493</v>
      </c>
      <c r="C18" s="450">
        <f>'IRI FR VT'!C17</f>
        <v>48972.367284274987</v>
      </c>
      <c r="D18" s="450">
        <f>'IRI FR EFF'!B17</f>
        <v>3080.6082750388241</v>
      </c>
      <c r="E18" s="572">
        <f>KANTAR!B17</f>
        <v>10536.94314205429</v>
      </c>
      <c r="F18" s="789">
        <f t="shared" si="4"/>
        <v>4223.1964540695153</v>
      </c>
      <c r="G18" s="228">
        <f>'ANNEXE 1 Grille'!$B15*($F$28-$F$26)</f>
        <v>3405.808044038658</v>
      </c>
      <c r="H18" s="227">
        <f t="shared" si="5"/>
        <v>817.38841003085713</v>
      </c>
      <c r="I18" s="789">
        <f>'PANEL CHR FRANCE'!B17</f>
        <v>4319.8059321890623</v>
      </c>
      <c r="J18" s="789">
        <f t="shared" si="0"/>
        <v>3397.0354099779561</v>
      </c>
      <c r="K18" s="228">
        <f>'ANNEXE 1 Grille'!$B15*($J$28-$J$26)</f>
        <v>2831.431865590333</v>
      </c>
      <c r="L18" s="227">
        <f t="shared" si="14"/>
        <v>565.60354438762295</v>
      </c>
      <c r="M18" s="566">
        <f>'IRI UK'!B17+'IRI UK'!G17</f>
        <v>9625.0662673242496</v>
      </c>
      <c r="N18" s="572">
        <f>'IRI ALL'!B17</f>
        <v>4991.4932540497739</v>
      </c>
      <c r="O18" s="572">
        <f>'IRI PB'!B17</f>
        <v>5112.499835664963</v>
      </c>
      <c r="P18" s="572">
        <f>GfK!B17</f>
        <v>3175.1045500894711</v>
      </c>
      <c r="Q18" s="572">
        <f>GfK!F17</f>
        <v>2453.4898796145917</v>
      </c>
      <c r="R18" s="227">
        <f t="shared" si="1"/>
        <v>0</v>
      </c>
      <c r="S18" s="227">
        <f>'ANNEXE 1 Grille'!B15*($R$28-$S$26)</f>
        <v>0</v>
      </c>
      <c r="T18" s="227">
        <f t="shared" si="6"/>
        <v>0</v>
      </c>
      <c r="U18" s="789">
        <f t="shared" si="7"/>
        <v>1762.9098405684276</v>
      </c>
      <c r="V18" s="226">
        <f>$U$28*'ANNEXE 1 Grille'!B15</f>
        <v>1377.9365419028611</v>
      </c>
      <c r="W18" s="227">
        <f t="shared" si="8"/>
        <v>384.97329866556657</v>
      </c>
      <c r="X18" s="227">
        <f t="shared" si="9"/>
        <v>0</v>
      </c>
      <c r="Y18" s="226">
        <f>$X$28*'ANNEXE 1 Grille'!B15</f>
        <v>0</v>
      </c>
      <c r="Z18" s="227">
        <f t="shared" si="10"/>
        <v>0</v>
      </c>
      <c r="AA18" s="809">
        <f>' DETAIL MONOPOLES'!B15</f>
        <v>2192.6577097464983</v>
      </c>
      <c r="AB18" s="229">
        <v>11022.789114625011</v>
      </c>
      <c r="AC18" s="572">
        <f t="shared" si="2"/>
        <v>12047.867450902337</v>
      </c>
      <c r="AD18" s="226">
        <f>'ANNEXE 1 Grille'!B15*$AC$28</f>
        <v>9149.5698285219041</v>
      </c>
      <c r="AE18" s="227">
        <f t="shared" si="11"/>
        <v>2898.2976223804321</v>
      </c>
      <c r="AF18" s="667">
        <v>0</v>
      </c>
    </row>
    <row r="19" spans="1:32" x14ac:dyDescent="0.2">
      <c r="A19" s="682" t="s">
        <v>32</v>
      </c>
      <c r="B19" s="664">
        <f t="shared" si="3"/>
        <v>39144.533025132383</v>
      </c>
      <c r="C19" s="450">
        <f>'IRI FR VT'!C18</f>
        <v>22926.212618089201</v>
      </c>
      <c r="D19" s="450">
        <f>'IRI FR EFF'!B18</f>
        <v>0</v>
      </c>
      <c r="E19" s="572">
        <f>KANTAR!B18</f>
        <v>4029.2946294143808</v>
      </c>
      <c r="F19" s="789">
        <f t="shared" si="4"/>
        <v>1533.1409185390323</v>
      </c>
      <c r="G19" s="228">
        <f>'ANNEXE 1 Grille'!$B16*($F$28-$F$26)</f>
        <v>715.7525085081752</v>
      </c>
      <c r="H19" s="227">
        <f t="shared" si="5"/>
        <v>817.38841003085713</v>
      </c>
      <c r="I19" s="789">
        <f>'PANEL CHR FRANCE'!B18</f>
        <v>1069.2278802812193</v>
      </c>
      <c r="J19" s="789">
        <f t="shared" si="0"/>
        <v>1160.647197541688</v>
      </c>
      <c r="K19" s="228">
        <f>'ANNEXE 1 Grille'!$B16*($J$28-$J$26)</f>
        <v>595.04365315406494</v>
      </c>
      <c r="L19" s="227">
        <f t="shared" si="14"/>
        <v>565.60354438762295</v>
      </c>
      <c r="M19" s="566">
        <f>'IRI UK'!B18+'IRI UK'!G18</f>
        <v>2019.9901469297677</v>
      </c>
      <c r="N19" s="572">
        <f>'IRI ALL'!B18</f>
        <v>1500.652635765658</v>
      </c>
      <c r="O19" s="572">
        <f>'IRI PB'!B18</f>
        <v>1943.3248610054011</v>
      </c>
      <c r="P19" s="572">
        <f>GfK!B18</f>
        <v>1008.0037629075362</v>
      </c>
      <c r="Q19" s="572">
        <f>GfK!F18</f>
        <v>778.91199861036898</v>
      </c>
      <c r="R19" s="227">
        <f t="shared" si="1"/>
        <v>0</v>
      </c>
      <c r="S19" s="227">
        <f>'ANNEXE 1 Grille'!B16*($R$28-$S$26)</f>
        <v>0</v>
      </c>
      <c r="T19" s="227">
        <f t="shared" si="6"/>
        <v>0</v>
      </c>
      <c r="U19" s="789">
        <f t="shared" si="7"/>
        <v>674.55554278480054</v>
      </c>
      <c r="V19" s="226">
        <f>$U$28*'ANNEXE 1 Grille'!B16</f>
        <v>289.58224411923396</v>
      </c>
      <c r="W19" s="227">
        <f t="shared" si="8"/>
        <v>384.97329866556657</v>
      </c>
      <c r="X19" s="227">
        <f t="shared" si="9"/>
        <v>0</v>
      </c>
      <c r="Y19" s="226">
        <f>$X$28*'ANNEXE 1 Grille'!B16</f>
        <v>0</v>
      </c>
      <c r="Z19" s="227">
        <f t="shared" si="10"/>
        <v>0</v>
      </c>
      <c r="AA19" s="809">
        <f>' DETAIL MONOPOLES'!B16</f>
        <v>500.57083326333105</v>
      </c>
      <c r="AB19" s="229">
        <v>0</v>
      </c>
      <c r="AC19" s="572">
        <f t="shared" si="2"/>
        <v>0</v>
      </c>
      <c r="AD19" s="226"/>
      <c r="AE19" s="227">
        <f t="shared" si="11"/>
        <v>0</v>
      </c>
      <c r="AF19" s="667">
        <v>0</v>
      </c>
    </row>
    <row r="20" spans="1:32" x14ac:dyDescent="0.2">
      <c r="A20" s="682" t="s">
        <v>33</v>
      </c>
      <c r="B20" s="664">
        <f t="shared" si="3"/>
        <v>43932.895884745194</v>
      </c>
      <c r="C20" s="450">
        <f>'IRI FR VT'!C19</f>
        <v>20922.886628815573</v>
      </c>
      <c r="D20" s="450">
        <f>'IRI FR EFF'!B19</f>
        <v>0</v>
      </c>
      <c r="E20" s="572">
        <f>KANTAR!B19</f>
        <v>5429.1024355139552</v>
      </c>
      <c r="F20" s="789">
        <f t="shared" si="4"/>
        <v>2111.7770772318427</v>
      </c>
      <c r="G20" s="228">
        <f>'ANNEXE 1 Grille'!$B17*($F$28-$F$26)</f>
        <v>1294.3886672009858</v>
      </c>
      <c r="H20" s="227">
        <f t="shared" si="5"/>
        <v>817.38841003085713</v>
      </c>
      <c r="I20" s="789">
        <f>'PANEL CHR FRANCE'!B19</f>
        <v>1768.433518471212</v>
      </c>
      <c r="J20" s="789">
        <f t="shared" si="0"/>
        <v>1641.6986358848794</v>
      </c>
      <c r="K20" s="228">
        <f>'ANNEXE 1 Grille'!$B17*($J$28-$J$26)</f>
        <v>1076.0950914972566</v>
      </c>
      <c r="L20" s="227">
        <f t="shared" si="14"/>
        <v>565.60354438762295</v>
      </c>
      <c r="M20" s="566">
        <f>'IRI UK'!B19+'IRI UK'!G19</f>
        <v>3030.7393773527724</v>
      </c>
      <c r="N20" s="572">
        <f>'IRI ALL'!B19</f>
        <v>2251.5392175827965</v>
      </c>
      <c r="O20" s="572">
        <f>'IRI PB'!B19</f>
        <v>2625.0205395300327</v>
      </c>
      <c r="P20" s="572">
        <f>GfK!B19</f>
        <v>1474.1513418079239</v>
      </c>
      <c r="Q20" s="572">
        <f>GfK!F19</f>
        <v>1139.1169459424871</v>
      </c>
      <c r="R20" s="227">
        <f t="shared" si="1"/>
        <v>0</v>
      </c>
      <c r="S20" s="227">
        <f>'ANNEXE 1 Grille'!B17*($R$28-$S$26)</f>
        <v>0</v>
      </c>
      <c r="T20" s="227">
        <f t="shared" si="6"/>
        <v>0</v>
      </c>
      <c r="U20" s="789">
        <f t="shared" si="7"/>
        <v>908.66266133621707</v>
      </c>
      <c r="V20" s="226">
        <f>$U$28*'ANNEXE 1 Grille'!B17</f>
        <v>523.68936267065055</v>
      </c>
      <c r="W20" s="227">
        <f t="shared" si="8"/>
        <v>384.97329866556657</v>
      </c>
      <c r="X20" s="227">
        <f t="shared" si="9"/>
        <v>0</v>
      </c>
      <c r="Y20" s="226">
        <f>$X$28*'ANNEXE 1 Grille'!B17</f>
        <v>0</v>
      </c>
      <c r="Z20" s="227">
        <f t="shared" si="10"/>
        <v>0</v>
      </c>
      <c r="AA20" s="809">
        <f>' DETAIL MONOPOLES'!B17</f>
        <v>629.76750527550257</v>
      </c>
      <c r="AB20" s="229">
        <v>0</v>
      </c>
      <c r="AC20" s="572">
        <f t="shared" si="2"/>
        <v>0</v>
      </c>
      <c r="AD20" s="226"/>
      <c r="AE20" s="227">
        <f t="shared" si="11"/>
        <v>0</v>
      </c>
      <c r="AF20" s="667">
        <v>0</v>
      </c>
    </row>
    <row r="21" spans="1:32" x14ac:dyDescent="0.2">
      <c r="A21" s="682" t="s">
        <v>34</v>
      </c>
      <c r="B21" s="664">
        <f t="shared" si="3"/>
        <v>21590.618691397085</v>
      </c>
      <c r="C21" s="450">
        <f>'IRI FR VT'!C20</f>
        <v>7593.3831167063499</v>
      </c>
      <c r="D21" s="450">
        <f>'IRI FR EFF'!B20</f>
        <v>0</v>
      </c>
      <c r="E21" s="572">
        <f>KANTAR!B20</f>
        <v>4214.4413264182022</v>
      </c>
      <c r="F21" s="789">
        <f t="shared" si="4"/>
        <v>1609.6746920200267</v>
      </c>
      <c r="G21" s="228">
        <f>'ANNEXE 1 Grille'!$B18*($F$28-$F$26)</f>
        <v>792.28628198916965</v>
      </c>
      <c r="H21" s="227">
        <f t="shared" si="5"/>
        <v>817.38841003085713</v>
      </c>
      <c r="I21" s="789">
        <f>'PANEL CHR FRANCE'!B20</f>
        <v>1161.7088722239923</v>
      </c>
      <c r="J21" s="789">
        <f t="shared" si="0"/>
        <v>1224.2738500793316</v>
      </c>
      <c r="K21" s="228">
        <f>'ANNEXE 1 Grille'!$B18*($J$28-$J$26)</f>
        <v>658.67030569170879</v>
      </c>
      <c r="L21" s="227">
        <f t="shared" si="14"/>
        <v>565.60354438762295</v>
      </c>
      <c r="M21" s="566">
        <f>'IRI UK'!B20+'IRI UK'!G20</f>
        <v>2153.67770081862</v>
      </c>
      <c r="N21" s="572">
        <f>'IRI ALL'!B20</f>
        <v>1599.9692489765168</v>
      </c>
      <c r="O21" s="572">
        <f>'IRI PB'!B20</f>
        <v>2033.4898841540403</v>
      </c>
      <c r="P21" s="572">
        <f>GfK!B20</f>
        <v>0</v>
      </c>
      <c r="Q21" s="572">
        <f>GfK!F20</f>
        <v>0</v>
      </c>
      <c r="R21" s="227">
        <f t="shared" si="1"/>
        <v>0</v>
      </c>
      <c r="S21" s="227">
        <f>'ANNEXE 1 Grille'!B18*($R$28-$S$26)</f>
        <v>0</v>
      </c>
      <c r="T21" s="227">
        <f t="shared" si="6"/>
        <v>0</v>
      </c>
      <c r="U21" s="789">
        <f t="shared" si="7"/>
        <v>0</v>
      </c>
      <c r="V21" s="226"/>
      <c r="W21" s="227">
        <f t="shared" si="8"/>
        <v>0</v>
      </c>
      <c r="X21" s="227">
        <f t="shared" si="9"/>
        <v>0</v>
      </c>
      <c r="Y21" s="226"/>
      <c r="Z21" s="227">
        <f t="shared" si="10"/>
        <v>0</v>
      </c>
      <c r="AA21" s="809">
        <f>' DETAIL MONOPOLES'!B18</f>
        <v>0</v>
      </c>
      <c r="AB21" s="229">
        <v>0</v>
      </c>
      <c r="AC21" s="572">
        <f t="shared" si="2"/>
        <v>0</v>
      </c>
      <c r="AD21" s="226"/>
      <c r="AE21" s="227">
        <f t="shared" si="11"/>
        <v>0</v>
      </c>
      <c r="AF21" s="667">
        <v>0</v>
      </c>
    </row>
    <row r="22" spans="1:32" x14ac:dyDescent="0.2">
      <c r="A22" s="682" t="s">
        <v>35</v>
      </c>
      <c r="B22" s="664">
        <f t="shared" si="3"/>
        <v>438.33387530407873</v>
      </c>
      <c r="C22" s="450">
        <f>'IRI FR VT'!C21</f>
        <v>0</v>
      </c>
      <c r="D22" s="450">
        <f>'IRI FR EFF'!B21</f>
        <v>0</v>
      </c>
      <c r="E22" s="572">
        <f>KANTAR!B21</f>
        <v>0</v>
      </c>
      <c r="F22" s="789">
        <f t="shared" si="4"/>
        <v>0</v>
      </c>
      <c r="G22" s="228"/>
      <c r="H22" s="227">
        <f t="shared" si="5"/>
        <v>0</v>
      </c>
      <c r="I22" s="789">
        <f>'PANEL CHR FRANCE'!B21</f>
        <v>438.33387530407873</v>
      </c>
      <c r="J22" s="789">
        <f t="shared" si="0"/>
        <v>0</v>
      </c>
      <c r="K22" s="228"/>
      <c r="L22" s="227">
        <f>IF(K22&lt;&gt;0,$K$27/J$28,K22)</f>
        <v>0</v>
      </c>
      <c r="M22" s="566">
        <f>'IRI UK'!B21+'IRI UK'!G21</f>
        <v>0</v>
      </c>
      <c r="N22" s="572">
        <f>'IRI ALL'!B21</f>
        <v>0</v>
      </c>
      <c r="O22" s="572">
        <f>'IRI PB'!B21</f>
        <v>0</v>
      </c>
      <c r="P22" s="572">
        <f>GfK!B21</f>
        <v>0</v>
      </c>
      <c r="Q22" s="572">
        <f>GfK!F21</f>
        <v>0</v>
      </c>
      <c r="R22" s="227">
        <f t="shared" si="1"/>
        <v>0</v>
      </c>
      <c r="S22" s="227"/>
      <c r="T22" s="227">
        <f t="shared" si="6"/>
        <v>0</v>
      </c>
      <c r="U22" s="789">
        <f t="shared" ref="U22:U26" si="15">V22+W22</f>
        <v>0</v>
      </c>
      <c r="V22" s="226"/>
      <c r="W22" s="227">
        <f t="shared" si="8"/>
        <v>0</v>
      </c>
      <c r="X22" s="227">
        <f t="shared" si="9"/>
        <v>0</v>
      </c>
      <c r="Y22" s="226"/>
      <c r="Z22" s="227">
        <f t="shared" si="10"/>
        <v>0</v>
      </c>
      <c r="AA22" s="809">
        <f>' DETAIL MONOPOLES'!B19</f>
        <v>0</v>
      </c>
      <c r="AB22" s="229">
        <v>0</v>
      </c>
      <c r="AC22" s="572">
        <f t="shared" si="2"/>
        <v>0</v>
      </c>
      <c r="AD22" s="226"/>
      <c r="AE22" s="227">
        <f t="shared" si="11"/>
        <v>0</v>
      </c>
      <c r="AF22" s="667">
        <v>0</v>
      </c>
    </row>
    <row r="23" spans="1:32" x14ac:dyDescent="0.2">
      <c r="A23" s="682" t="s">
        <v>36</v>
      </c>
      <c r="B23" s="664">
        <f t="shared" si="3"/>
        <v>89254.748497676337</v>
      </c>
      <c r="C23" s="450">
        <f>'IRI FR VT'!C22</f>
        <v>25322.512026931636</v>
      </c>
      <c r="D23" s="450">
        <f>'IRI FR EFF'!B22</f>
        <v>3752.5584069017686</v>
      </c>
      <c r="E23" s="572">
        <f>KANTAR!B22</f>
        <v>0</v>
      </c>
      <c r="F23" s="789">
        <f t="shared" si="4"/>
        <v>0</v>
      </c>
      <c r="G23" s="228"/>
      <c r="H23" s="227">
        <f t="shared" si="5"/>
        <v>0</v>
      </c>
      <c r="I23" s="789">
        <f>'PANEL CHR FRANCE'!B22</f>
        <v>5589.8648138160061</v>
      </c>
      <c r="J23" s="789">
        <f t="shared" si="0"/>
        <v>4270.8322136890429</v>
      </c>
      <c r="K23" s="228">
        <f>'ANNEXE 1 Grille'!$B20*($J$28-$J$26)</f>
        <v>3705.2286693014198</v>
      </c>
      <c r="L23" s="227">
        <f t="shared" ref="L23" si="16">IF(K23&lt;&gt;0,$K$27/K$29,K23)</f>
        <v>565.60354438762295</v>
      </c>
      <c r="M23" s="566">
        <f>'IRI UK'!B22+'IRI UK'!G22</f>
        <v>11461.022625627409</v>
      </c>
      <c r="N23" s="572">
        <f>'IRI ALL'!B22</f>
        <v>6355.4270100762305</v>
      </c>
      <c r="O23" s="572">
        <f>'IRI PB'!B22</f>
        <v>7934.3030626130903</v>
      </c>
      <c r="P23" s="572">
        <f>GfK!B22</f>
        <v>4021.829519676261</v>
      </c>
      <c r="Q23" s="572">
        <f>GfK!F22</f>
        <v>3107.7773561134754</v>
      </c>
      <c r="R23" s="227">
        <f>S23+T23</f>
        <v>0</v>
      </c>
      <c r="S23" s="227">
        <f>'ANNEXE 1 Grille'!B20*($R$28-$S$26)</f>
        <v>0</v>
      </c>
      <c r="T23" s="227">
        <f t="shared" si="6"/>
        <v>0</v>
      </c>
      <c r="U23" s="789">
        <f t="shared" si="15"/>
        <v>0</v>
      </c>
      <c r="V23" s="226"/>
      <c r="W23" s="227">
        <f t="shared" si="8"/>
        <v>0</v>
      </c>
      <c r="X23" s="227">
        <f t="shared" si="9"/>
        <v>0</v>
      </c>
      <c r="Y23" s="226">
        <f>$X$28*'ANNEXE 1 Grille'!B20</f>
        <v>0</v>
      </c>
      <c r="Z23" s="227">
        <f t="shared" si="10"/>
        <v>0</v>
      </c>
      <c r="AA23" s="809">
        <f>' DETAIL MONOPOLES'!B20</f>
        <v>2567.142054194107</v>
      </c>
      <c r="AB23" s="229">
        <v>13458.158423935714</v>
      </c>
      <c r="AC23" s="572">
        <f t="shared" si="2"/>
        <v>14871.479408037307</v>
      </c>
      <c r="AD23" s="226">
        <f>'ANNEXE 1 Grille'!B20*$AC$28</f>
        <v>11973.181785656874</v>
      </c>
      <c r="AE23" s="227">
        <f t="shared" si="11"/>
        <v>2898.2976223804321</v>
      </c>
      <c r="AF23" s="667">
        <v>0</v>
      </c>
    </row>
    <row r="24" spans="1:32" x14ac:dyDescent="0.2">
      <c r="A24" s="682" t="s">
        <v>37</v>
      </c>
      <c r="B24" s="664">
        <f t="shared" si="3"/>
        <v>376.37911977107859</v>
      </c>
      <c r="C24" s="450">
        <f>'IRI FR VT'!C23</f>
        <v>0</v>
      </c>
      <c r="D24" s="450">
        <f>'IRI FR EFF'!B23</f>
        <v>0</v>
      </c>
      <c r="E24" s="572">
        <f>KANTAR!B23</f>
        <v>0</v>
      </c>
      <c r="F24" s="789">
        <f t="shared" si="4"/>
        <v>0</v>
      </c>
      <c r="G24" s="228"/>
      <c r="H24" s="227">
        <f t="shared" si="5"/>
        <v>0</v>
      </c>
      <c r="I24" s="789">
        <f>'PANEL CHR FRANCE'!B23</f>
        <v>376.37911977107859</v>
      </c>
      <c r="J24" s="789">
        <f t="shared" si="0"/>
        <v>0</v>
      </c>
      <c r="K24" s="228"/>
      <c r="L24" s="227">
        <f>IF(K24&lt;&gt;0,$K$27/J$28,K24)</f>
        <v>0</v>
      </c>
      <c r="M24" s="566">
        <f>'IRI UK'!B23+'IRI UK'!G23</f>
        <v>0</v>
      </c>
      <c r="N24" s="572">
        <f>'IRI ALL'!B23</f>
        <v>0</v>
      </c>
      <c r="O24" s="572">
        <f>'IRI PB'!B23</f>
        <v>0</v>
      </c>
      <c r="P24" s="572">
        <f>GfK!B23</f>
        <v>0</v>
      </c>
      <c r="Q24" s="572">
        <f>GfK!F23</f>
        <v>0</v>
      </c>
      <c r="R24" s="227">
        <f t="shared" si="1"/>
        <v>0</v>
      </c>
      <c r="S24" s="227"/>
      <c r="T24" s="227">
        <f t="shared" si="6"/>
        <v>0</v>
      </c>
      <c r="U24" s="789">
        <f t="shared" si="15"/>
        <v>0</v>
      </c>
      <c r="V24" s="226"/>
      <c r="W24" s="227">
        <f t="shared" si="8"/>
        <v>0</v>
      </c>
      <c r="X24" s="227">
        <f t="shared" si="9"/>
        <v>0</v>
      </c>
      <c r="Y24" s="226"/>
      <c r="Z24" s="227">
        <f t="shared" si="10"/>
        <v>0</v>
      </c>
      <c r="AA24" s="809">
        <f>' DETAIL MONOPOLES'!B21</f>
        <v>0</v>
      </c>
      <c r="AB24" s="229">
        <v>0</v>
      </c>
      <c r="AC24" s="572">
        <f t="shared" si="2"/>
        <v>0</v>
      </c>
      <c r="AD24" s="226"/>
      <c r="AE24" s="227">
        <f t="shared" si="11"/>
        <v>0</v>
      </c>
      <c r="AF24" s="667">
        <v>0</v>
      </c>
    </row>
    <row r="25" spans="1:32" s="230" customFormat="1" x14ac:dyDescent="0.2">
      <c r="A25" s="683" t="s">
        <v>39</v>
      </c>
      <c r="B25" s="664">
        <f t="shared" si="3"/>
        <v>0</v>
      </c>
      <c r="C25" s="450">
        <f>'IRI FR VT'!C24</f>
        <v>0</v>
      </c>
      <c r="D25" s="450">
        <f>'IRI FR EFF'!B24</f>
        <v>0</v>
      </c>
      <c r="E25" s="572">
        <f>KANTAR!B24</f>
        <v>0</v>
      </c>
      <c r="F25" s="789"/>
      <c r="G25" s="228"/>
      <c r="H25" s="227"/>
      <c r="I25" s="789">
        <f>'PANEL CHR FRANCE'!B24</f>
        <v>0</v>
      </c>
      <c r="J25" s="789">
        <f t="shared" si="0"/>
        <v>0</v>
      </c>
      <c r="K25" s="228"/>
      <c r="L25" s="227">
        <f>IF(K25&lt;&gt;0,#REF!/J$28,K25)</f>
        <v>0</v>
      </c>
      <c r="M25" s="566">
        <f>'IRI UK'!B24+'IRI UK'!G24</f>
        <v>0</v>
      </c>
      <c r="N25" s="572">
        <f>'IRI ALL'!B24</f>
        <v>0</v>
      </c>
      <c r="O25" s="572">
        <f>'IRI PB'!B24</f>
        <v>0</v>
      </c>
      <c r="P25" s="572">
        <f>GfK!B24</f>
        <v>0</v>
      </c>
      <c r="Q25" s="572">
        <f>GfK!F24</f>
        <v>0</v>
      </c>
      <c r="R25" s="227">
        <f t="shared" si="1"/>
        <v>0</v>
      </c>
      <c r="S25" s="227"/>
      <c r="T25" s="227">
        <f t="shared" si="6"/>
        <v>0</v>
      </c>
      <c r="U25" s="789">
        <f t="shared" si="15"/>
        <v>0</v>
      </c>
      <c r="V25" s="226"/>
      <c r="W25" s="227">
        <f t="shared" si="8"/>
        <v>0</v>
      </c>
      <c r="X25" s="227">
        <f t="shared" si="9"/>
        <v>0</v>
      </c>
      <c r="Y25" s="226"/>
      <c r="Z25" s="227">
        <f t="shared" si="10"/>
        <v>0</v>
      </c>
      <c r="AA25" s="809">
        <f>' DETAIL MONOPOLES'!B22</f>
        <v>0</v>
      </c>
      <c r="AB25" s="229">
        <v>0</v>
      </c>
      <c r="AC25" s="572">
        <f t="shared" si="2"/>
        <v>0</v>
      </c>
      <c r="AD25" s="226"/>
      <c r="AE25" s="227">
        <f t="shared" si="11"/>
        <v>0</v>
      </c>
      <c r="AF25" s="667">
        <v>0</v>
      </c>
    </row>
    <row r="26" spans="1:32" ht="12.75" thickBot="1" x14ac:dyDescent="0.25">
      <c r="A26" s="682" t="s">
        <v>380</v>
      </c>
      <c r="B26" s="664">
        <f>C26+D26+E26+F26+I26+J26+M26+N26+O26+P26+Q26+U26+AA26+AC26</f>
        <v>448334.10683882411</v>
      </c>
      <c r="C26" s="450">
        <f>'IRI FR VT'!C25</f>
        <v>128497.32989737741</v>
      </c>
      <c r="D26" s="450">
        <f>'IRI FR EFF'!B25</f>
        <v>9456.6271075636632</v>
      </c>
      <c r="E26" s="572">
        <f>KANTAR!B25</f>
        <v>101846.2253895857</v>
      </c>
      <c r="F26" s="789"/>
      <c r="G26" s="228"/>
      <c r="H26" s="231"/>
      <c r="I26" s="789">
        <f>'PANEL CHR FRANCE'!B25</f>
        <v>50872.308834446922</v>
      </c>
      <c r="J26" s="789">
        <f t="shared" si="0"/>
        <v>0</v>
      </c>
      <c r="K26" s="231"/>
      <c r="L26" s="231"/>
      <c r="M26" s="566">
        <f>'IRI UK'!B26+'IRI UK'!G26</f>
        <v>49026.251311288492</v>
      </c>
      <c r="N26" s="572">
        <f>'IRI ALL'!B25</f>
        <v>36421.64956290384</v>
      </c>
      <c r="O26" s="572">
        <f>'IRI PB'!B25</f>
        <v>32131.599999999999</v>
      </c>
      <c r="P26" s="572">
        <f>GfK!B25</f>
        <v>22610.423697037866</v>
      </c>
      <c r="Q26" s="572">
        <f>GfK!F25</f>
        <v>17471.691038620171</v>
      </c>
      <c r="R26" s="227">
        <f>S26+T26</f>
        <v>0</v>
      </c>
      <c r="S26" s="226"/>
      <c r="T26" s="227">
        <v>0</v>
      </c>
      <c r="U26" s="789">
        <f t="shared" si="15"/>
        <v>0</v>
      </c>
      <c r="V26" s="226"/>
      <c r="W26" s="226"/>
      <c r="X26" s="227">
        <f t="shared" si="9"/>
        <v>0</v>
      </c>
      <c r="Y26" s="226"/>
      <c r="Z26" s="226"/>
      <c r="AA26" s="809">
        <f>' DETAIL MONOPOLES'!B23</f>
        <v>0</v>
      </c>
      <c r="AB26" s="229">
        <v>0</v>
      </c>
      <c r="AC26" s="572">
        <f t="shared" si="2"/>
        <v>0</v>
      </c>
      <c r="AD26" s="226"/>
      <c r="AE26" s="227">
        <f t="shared" si="11"/>
        <v>0</v>
      </c>
      <c r="AF26" s="668">
        <v>0</v>
      </c>
    </row>
    <row r="27" spans="1:32" s="236" customFormat="1" ht="12.75" thickBot="1" x14ac:dyDescent="0.25">
      <c r="A27" s="567" t="s">
        <v>385</v>
      </c>
      <c r="B27" s="451">
        <f>SUM(B5:B26)</f>
        <v>1543580.0048501142</v>
      </c>
      <c r="C27" s="451">
        <f>SUM(C5:C26)</f>
        <v>560350.65184340533</v>
      </c>
      <c r="D27" s="513">
        <f t="shared" ref="D27:J27" si="17">SUM(D5:D26)</f>
        <v>36371.642721398704</v>
      </c>
      <c r="E27" s="513">
        <f t="shared" si="17"/>
        <v>207857.6039528696</v>
      </c>
      <c r="F27" s="790">
        <f>SUM(F5:F26)</f>
        <v>42099.999999999985</v>
      </c>
      <c r="G27" s="233">
        <f>F28 -G26-SUM(G5:G25)</f>
        <v>10626.049330401143</v>
      </c>
      <c r="H27" s="233"/>
      <c r="I27" s="790">
        <f t="shared" si="17"/>
        <v>101744.61766889387</v>
      </c>
      <c r="J27" s="800">
        <f t="shared" si="17"/>
        <v>35000</v>
      </c>
      <c r="K27" s="233">
        <f>J28 -K26-SUM(K5:K25)</f>
        <v>8484.0531658143445</v>
      </c>
      <c r="L27" s="233"/>
      <c r="M27" s="567">
        <f t="shared" ref="M27:R27" si="18">SUM(M5:M26)</f>
        <v>140449.59635119728</v>
      </c>
      <c r="N27" s="567">
        <f t="shared" si="18"/>
        <v>91054.123907259578</v>
      </c>
      <c r="O27" s="567">
        <f t="shared" si="18"/>
        <v>83313.481565944501</v>
      </c>
      <c r="P27" s="567">
        <f t="shared" si="18"/>
        <v>56526.059242594667</v>
      </c>
      <c r="Q27" s="567">
        <f t="shared" si="18"/>
        <v>43679.22759655043</v>
      </c>
      <c r="R27" s="232">
        <f t="shared" si="18"/>
        <v>0</v>
      </c>
      <c r="S27" s="232">
        <f>R28-SUM(S5:S26)</f>
        <v>0</v>
      </c>
      <c r="T27" s="232"/>
      <c r="U27" s="804">
        <f>SUM(U5:U26)</f>
        <v>17033</v>
      </c>
      <c r="V27" s="234">
        <f>U28-SUM(V5:V23)</f>
        <v>4619.6795839867991</v>
      </c>
      <c r="W27" s="234"/>
      <c r="X27" s="234"/>
      <c r="Y27" s="234">
        <f>X28-SUM(Y5:Y23)</f>
        <v>0</v>
      </c>
      <c r="Z27" s="234"/>
      <c r="AA27" s="804">
        <f>SUM(AA5:AA26)</f>
        <v>15000</v>
      </c>
      <c r="AB27" s="235">
        <v>103499.99999999999</v>
      </c>
      <c r="AC27" s="567">
        <f>SUM(AC5:AC26)</f>
        <v>113100</v>
      </c>
      <c r="AD27" s="232">
        <f>AC28-SUM(AD5:AD25)</f>
        <v>26084.67860142389</v>
      </c>
      <c r="AE27" s="232"/>
      <c r="AF27" s="669">
        <v>0</v>
      </c>
    </row>
    <row r="28" spans="1:32" s="242" customFormat="1" ht="33.75" x14ac:dyDescent="0.2">
      <c r="A28" s="452" t="s">
        <v>385</v>
      </c>
      <c r="B28" s="514">
        <f>C27+D27+E27+I27+J27+M27+N27+O27+P27+Q27+R27+U27+X27+AA27+AC27+F27</f>
        <v>1543580.0048501142</v>
      </c>
      <c r="C28" s="610">
        <v>560351</v>
      </c>
      <c r="D28" s="514">
        <v>36372</v>
      </c>
      <c r="E28" s="514">
        <v>207858</v>
      </c>
      <c r="F28" s="791">
        <v>42100</v>
      </c>
      <c r="G28" s="237" t="s">
        <v>203</v>
      </c>
      <c r="H28" s="239"/>
      <c r="I28" s="791">
        <v>101745</v>
      </c>
      <c r="J28" s="801">
        <v>35000</v>
      </c>
      <c r="K28" s="237" t="s">
        <v>203</v>
      </c>
      <c r="L28" s="239"/>
      <c r="M28" s="568">
        <f>'IRI UK'!B28+'IRI UK'!G28</f>
        <v>140449.59635119728</v>
      </c>
      <c r="N28" s="568">
        <v>91054</v>
      </c>
      <c r="O28" s="568">
        <v>83313</v>
      </c>
      <c r="P28" s="568">
        <v>56526</v>
      </c>
      <c r="Q28" s="568">
        <v>43679</v>
      </c>
      <c r="R28" s="240">
        <v>0</v>
      </c>
      <c r="S28" s="240"/>
      <c r="T28" s="240"/>
      <c r="U28" s="805">
        <v>17033</v>
      </c>
      <c r="V28" s="240"/>
      <c r="W28" s="240"/>
      <c r="X28" s="240"/>
      <c r="Y28" s="240"/>
      <c r="Z28" s="240"/>
      <c r="AA28" s="805">
        <v>15000</v>
      </c>
      <c r="AB28" s="240"/>
      <c r="AC28" s="568">
        <v>113100</v>
      </c>
      <c r="AD28" s="241">
        <f>COUNTA(AD5:AD24)</f>
        <v>9</v>
      </c>
      <c r="AE28" s="240"/>
      <c r="AF28" s="670"/>
    </row>
    <row r="29" spans="1:32" s="242" customFormat="1" ht="11.25" x14ac:dyDescent="0.2">
      <c r="A29" s="452" t="s">
        <v>386</v>
      </c>
      <c r="B29" s="452">
        <f>SUM(B5:B26)-B27</f>
        <v>0</v>
      </c>
      <c r="C29" s="452">
        <f>SUM(C5:C26)-C28</f>
        <v>-0.34815659467130899</v>
      </c>
      <c r="D29" s="452">
        <f>SUM(D5:D26)-D28</f>
        <v>-0.35727860129554756</v>
      </c>
      <c r="E29" s="452">
        <f>E27-E28</f>
        <v>-0.39604713040171191</v>
      </c>
      <c r="F29" s="792">
        <f>F27-F28</f>
        <v>0</v>
      </c>
      <c r="G29" s="243">
        <f>COUNTA(G5:G26)</f>
        <v>13</v>
      </c>
      <c r="H29" s="237"/>
      <c r="I29" s="792">
        <f>I28-I27</f>
        <v>0.38233110612782184</v>
      </c>
      <c r="J29" s="792">
        <f>SUM(J5:J26)-J27</f>
        <v>0</v>
      </c>
      <c r="K29" s="243">
        <f>COUNTA(K5:K26)</f>
        <v>15</v>
      </c>
      <c r="L29" s="237"/>
      <c r="M29" s="452">
        <f t="shared" ref="M29:R29" si="19">M27-M28</f>
        <v>0</v>
      </c>
      <c r="N29" s="452">
        <f t="shared" si="19"/>
        <v>0.1239072595781181</v>
      </c>
      <c r="O29" s="452">
        <f t="shared" si="19"/>
        <v>0.48156594450119883</v>
      </c>
      <c r="P29" s="452">
        <f t="shared" si="19"/>
        <v>5.9242594667011872E-2</v>
      </c>
      <c r="Q29" s="452">
        <f t="shared" si="19"/>
        <v>0.22759655043046223</v>
      </c>
      <c r="R29" s="238">
        <f t="shared" si="19"/>
        <v>0</v>
      </c>
      <c r="S29" s="244">
        <f>COUNTA(S5:S24)</f>
        <v>14</v>
      </c>
      <c r="T29" s="237"/>
      <c r="U29" s="792">
        <f>U27-U28</f>
        <v>0</v>
      </c>
      <c r="V29" s="243">
        <f>COUNTA(V5:V26)</f>
        <v>12</v>
      </c>
      <c r="W29" s="237"/>
      <c r="X29" s="237">
        <f>X27-X28</f>
        <v>0</v>
      </c>
      <c r="Y29" s="243">
        <f>COUNTA(Y5:Y26)</f>
        <v>15</v>
      </c>
      <c r="Z29" s="237"/>
      <c r="AA29" s="792">
        <f>AA27-AA28</f>
        <v>0</v>
      </c>
      <c r="AB29" s="237"/>
      <c r="AC29" s="514">
        <f>AC27-AC28</f>
        <v>0</v>
      </c>
      <c r="AD29" s="237"/>
      <c r="AE29" s="237">
        <f>SUM(AE5:AE26)-AF27</f>
        <v>26084.67860142389</v>
      </c>
      <c r="AF29" s="670"/>
    </row>
    <row r="30" spans="1:32" x14ac:dyDescent="0.2">
      <c r="A30" s="684"/>
      <c r="B30" s="687"/>
      <c r="C30" s="453"/>
    </row>
    <row r="31" spans="1:32" x14ac:dyDescent="0.2">
      <c r="A31" s="684"/>
      <c r="B31" s="688"/>
      <c r="C31" s="454"/>
    </row>
    <row r="32" spans="1:32" x14ac:dyDescent="0.2">
      <c r="B32" s="689"/>
      <c r="C32" s="515"/>
      <c r="D32" s="515"/>
      <c r="I32" s="794"/>
      <c r="M32" s="570"/>
      <c r="N32" s="570"/>
    </row>
    <row r="33" spans="2:14" x14ac:dyDescent="0.2">
      <c r="B33" s="689"/>
      <c r="C33" s="455"/>
      <c r="D33" s="515"/>
      <c r="M33" s="570"/>
      <c r="N33" s="570"/>
    </row>
    <row r="34" spans="2:14" x14ac:dyDescent="0.2">
      <c r="B34" s="689"/>
      <c r="C34" s="455"/>
      <c r="M34" s="571"/>
      <c r="N34" s="571"/>
    </row>
    <row r="35" spans="2:14" x14ac:dyDescent="0.2">
      <c r="B35" s="689"/>
      <c r="C35" s="456"/>
      <c r="M35" s="571"/>
      <c r="N35" s="571"/>
    </row>
    <row r="36" spans="2:14" x14ac:dyDescent="0.2">
      <c r="B36" s="689"/>
      <c r="C36" s="456"/>
      <c r="M36" s="571"/>
      <c r="N36" s="571"/>
    </row>
    <row r="37" spans="2:14" x14ac:dyDescent="0.2">
      <c r="B37" s="689"/>
      <c r="C37" s="457"/>
      <c r="M37" s="571"/>
      <c r="N37" s="571"/>
    </row>
    <row r="38" spans="2:14" x14ac:dyDescent="0.2">
      <c r="B38" s="689"/>
      <c r="C38" s="457"/>
      <c r="M38" s="571"/>
      <c r="N38" s="571"/>
    </row>
    <row r="39" spans="2:14" x14ac:dyDescent="0.2">
      <c r="B39" s="689"/>
      <c r="C39" s="457"/>
      <c r="M39" s="571"/>
      <c r="N39" s="571"/>
    </row>
    <row r="40" spans="2:14" x14ac:dyDescent="0.2">
      <c r="B40" s="689"/>
      <c r="C40" s="457"/>
      <c r="M40" s="571"/>
      <c r="N40" s="571"/>
    </row>
    <row r="41" spans="2:14" x14ac:dyDescent="0.2">
      <c r="B41" s="689"/>
      <c r="C41" s="457"/>
      <c r="M41" s="571"/>
      <c r="N41" s="571"/>
    </row>
    <row r="42" spans="2:14" x14ac:dyDescent="0.2">
      <c r="B42" s="689"/>
      <c r="C42" s="457"/>
      <c r="M42" s="571"/>
      <c r="N42" s="571"/>
    </row>
    <row r="43" spans="2:14" x14ac:dyDescent="0.2">
      <c r="B43" s="689"/>
      <c r="C43" s="457"/>
    </row>
    <row r="44" spans="2:14" x14ac:dyDescent="0.2">
      <c r="B44" s="689"/>
      <c r="C44" s="457"/>
    </row>
    <row r="45" spans="2:14" x14ac:dyDescent="0.2">
      <c r="B45" s="689"/>
      <c r="C45" s="457"/>
    </row>
    <row r="46" spans="2:14" x14ac:dyDescent="0.2">
      <c r="B46" s="689"/>
      <c r="C46" s="457"/>
    </row>
    <row r="47" spans="2:14" x14ac:dyDescent="0.2">
      <c r="B47" s="689"/>
      <c r="C47" s="457"/>
    </row>
    <row r="48" spans="2:14" x14ac:dyDescent="0.2">
      <c r="B48" s="689"/>
      <c r="C48" s="457"/>
    </row>
  </sheetData>
  <mergeCells count="26">
    <mergeCell ref="A1:A4"/>
    <mergeCell ref="C1:L1"/>
    <mergeCell ref="B1:B4"/>
    <mergeCell ref="C2:C4"/>
    <mergeCell ref="D2:D4"/>
    <mergeCell ref="E2:E4"/>
    <mergeCell ref="I2:I4"/>
    <mergeCell ref="J2:L2"/>
    <mergeCell ref="J3:L3"/>
    <mergeCell ref="F2:H2"/>
    <mergeCell ref="M1:AC1"/>
    <mergeCell ref="U2:W2"/>
    <mergeCell ref="AF3:AF4"/>
    <mergeCell ref="AC2:AE2"/>
    <mergeCell ref="R3:T3"/>
    <mergeCell ref="O2:O4"/>
    <mergeCell ref="P2:P4"/>
    <mergeCell ref="Q2:Q4"/>
    <mergeCell ref="U3:W3"/>
    <mergeCell ref="AA3:AA4"/>
    <mergeCell ref="AC3:AE3"/>
    <mergeCell ref="M2:M4"/>
    <mergeCell ref="N2:N4"/>
    <mergeCell ref="R2:T2"/>
    <mergeCell ref="X2:Z2"/>
    <mergeCell ref="X3:Z3"/>
  </mergeCells>
  <hyperlinks>
    <hyperlink ref="C2" location="'IRI FR VT'!A1" display="IRI VT FR"/>
    <hyperlink ref="D2" location="'IRI FR EFF'!A1" display="IRI FR EFF"/>
    <hyperlink ref="M2" location="'IRI UK'!A1" display="IRI UK"/>
    <hyperlink ref="N2" location="'IRI ALL'!A1" display="IRI ALL"/>
    <hyperlink ref="O2" location="'IRI PB'!A1" display="IRI PB"/>
    <hyperlink ref="E2" location="KANTAR!A1" display="KANTAR"/>
    <hyperlink ref="P2" location="GfK!D1" display="GfK BE"/>
    <hyperlink ref="Q2" location="GfK!P1" display="GfK ALL"/>
    <hyperlink ref="I2" location="'PANEL CHR FRANCE'!P1" display="CHR France"/>
  </hyperlinks>
  <printOptions horizontalCentered="1" verticalCentered="1"/>
  <pageMargins left="0.25" right="0.25" top="0.75" bottom="0.75" header="0.3" footer="0.3"/>
  <pageSetup paperSize="8" firstPageNumber="0" orientation="landscape" r:id="rId1"/>
  <headerFooter>
    <oddHeader>&amp;C&amp;F</oddHeader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K12"/>
  <sheetViews>
    <sheetView workbookViewId="0">
      <selection activeCell="J18" sqref="J18"/>
    </sheetView>
  </sheetViews>
  <sheetFormatPr baseColWidth="10" defaultColWidth="9.140625" defaultRowHeight="15" x14ac:dyDescent="0.25"/>
  <sheetData>
    <row r="1" spans="1:37" s="1" customFormat="1" ht="15.75" customHeight="1" x14ac:dyDescent="0.25">
      <c r="A1" s="29"/>
      <c r="B1" s="709" t="s">
        <v>56</v>
      </c>
      <c r="C1" s="709"/>
      <c r="D1" s="710" t="s">
        <v>57</v>
      </c>
      <c r="E1" s="710"/>
      <c r="F1" s="711" t="s">
        <v>58</v>
      </c>
      <c r="G1" s="711"/>
      <c r="H1" s="710" t="s">
        <v>59</v>
      </c>
      <c r="I1" s="710"/>
      <c r="J1" s="711" t="s">
        <v>60</v>
      </c>
      <c r="K1" s="711"/>
      <c r="L1" s="708" t="s">
        <v>61</v>
      </c>
      <c r="M1" s="708"/>
      <c r="N1" s="8"/>
      <c r="O1" s="3"/>
      <c r="P1" s="3"/>
      <c r="Q1" s="3"/>
      <c r="R1" s="3"/>
      <c r="S1" s="8"/>
      <c r="T1" s="9"/>
      <c r="U1" s="5"/>
      <c r="V1" s="9"/>
      <c r="W1" s="5"/>
      <c r="X1" s="5"/>
      <c r="Y1" s="4"/>
      <c r="Z1" s="5"/>
      <c r="AA1" s="5"/>
      <c r="AB1" s="4"/>
      <c r="AC1" s="5"/>
      <c r="AD1" s="5"/>
      <c r="AE1" s="4"/>
      <c r="AF1" s="5"/>
      <c r="AG1" s="5"/>
      <c r="AH1" s="9"/>
      <c r="AJ1" s="3"/>
      <c r="AK1" s="7"/>
    </row>
    <row r="2" spans="1:37" ht="15.75" customHeight="1" x14ac:dyDescent="0.25">
      <c r="A2" s="30" t="s">
        <v>62</v>
      </c>
      <c r="B2" s="31"/>
      <c r="C2" s="31"/>
      <c r="D2" s="32">
        <v>185</v>
      </c>
      <c r="E2" s="33"/>
      <c r="F2" s="32">
        <f>10204.03</f>
        <v>10204.030000000001</v>
      </c>
      <c r="G2" s="34"/>
      <c r="H2" s="32">
        <v>1500</v>
      </c>
      <c r="I2" s="33"/>
      <c r="J2" s="35">
        <v>4000</v>
      </c>
      <c r="K2" s="34"/>
      <c r="M2" s="36"/>
      <c r="N2" s="8"/>
      <c r="O2" s="3"/>
      <c r="P2" s="3"/>
      <c r="Q2" s="3"/>
      <c r="R2" s="3"/>
      <c r="S2" s="8"/>
      <c r="T2" s="9"/>
      <c r="U2" s="5"/>
      <c r="V2" s="9"/>
      <c r="W2" s="5"/>
      <c r="X2" s="5"/>
      <c r="Y2" s="4"/>
      <c r="Z2" s="5"/>
      <c r="AA2" s="5"/>
      <c r="AB2" s="4"/>
      <c r="AC2" s="5"/>
      <c r="AD2" s="5"/>
      <c r="AE2" s="4"/>
      <c r="AF2" s="5"/>
      <c r="AG2" s="5"/>
      <c r="AH2" s="9"/>
      <c r="AJ2" s="3"/>
      <c r="AK2" s="7"/>
    </row>
    <row r="3" spans="1:37" s="10" customFormat="1" x14ac:dyDescent="0.25">
      <c r="A3" s="37" t="s">
        <v>63</v>
      </c>
      <c r="B3" s="38" t="s">
        <v>64</v>
      </c>
      <c r="C3" s="34" t="s">
        <v>65</v>
      </c>
      <c r="D3" s="39" t="s">
        <v>64</v>
      </c>
      <c r="E3" s="40" t="s">
        <v>65</v>
      </c>
      <c r="F3" s="39" t="s">
        <v>64</v>
      </c>
      <c r="G3" s="40" t="s">
        <v>65</v>
      </c>
      <c r="H3" s="39" t="s">
        <v>64</v>
      </c>
      <c r="I3" s="40" t="s">
        <v>65</v>
      </c>
      <c r="J3" s="39" t="s">
        <v>64</v>
      </c>
      <c r="K3" s="40" t="s">
        <v>65</v>
      </c>
      <c r="L3" s="39" t="s">
        <v>64</v>
      </c>
      <c r="M3" s="40" t="s">
        <v>65</v>
      </c>
      <c r="N3" s="11"/>
      <c r="O3" s="11"/>
      <c r="P3" s="14"/>
      <c r="Q3" s="9"/>
      <c r="R3" s="5"/>
      <c r="S3" s="5"/>
      <c r="T3" s="13"/>
      <c r="U3" s="14"/>
      <c r="V3" s="13"/>
      <c r="W3" s="13"/>
      <c r="X3" s="12"/>
      <c r="Y3" s="13"/>
      <c r="Z3" s="13"/>
      <c r="AA3" s="12"/>
      <c r="AB3" s="13"/>
      <c r="AC3" s="13"/>
      <c r="AD3" s="12"/>
      <c r="AE3" s="13"/>
      <c r="AF3" s="13"/>
      <c r="AG3" s="14"/>
      <c r="AI3" s="11"/>
      <c r="AJ3" s="15"/>
    </row>
    <row r="4" spans="1:37" x14ac:dyDescent="0.25">
      <c r="A4" s="41"/>
      <c r="B4" s="42"/>
      <c r="C4" s="43"/>
      <c r="D4" s="44">
        <v>136.01</v>
      </c>
      <c r="E4" s="45">
        <v>162.68</v>
      </c>
      <c r="F4" s="44">
        <v>8498</v>
      </c>
      <c r="G4" s="45">
        <f>F4*1.196</f>
        <v>10163.608</v>
      </c>
      <c r="H4" s="44">
        <v>1137.01</v>
      </c>
      <c r="I4" s="45">
        <f>H4*1.196</f>
        <v>1359.8639599999999</v>
      </c>
      <c r="J4" s="44">
        <v>485.03</v>
      </c>
      <c r="K4" s="45">
        <f>J4*1.196</f>
        <v>580.09587999999997</v>
      </c>
      <c r="L4" s="44">
        <v>3500</v>
      </c>
      <c r="M4" s="45">
        <f>L4*1.196</f>
        <v>4186</v>
      </c>
      <c r="N4" s="11"/>
      <c r="O4" s="11"/>
      <c r="P4" s="14"/>
      <c r="Q4" s="13"/>
      <c r="R4" s="13"/>
      <c r="S4" s="14"/>
      <c r="T4" s="13"/>
      <c r="U4" s="14"/>
      <c r="V4" s="13"/>
      <c r="W4" s="13"/>
      <c r="X4" s="12"/>
      <c r="Y4" s="13"/>
      <c r="Z4" s="13"/>
      <c r="AA4" s="12"/>
      <c r="AB4" s="13"/>
      <c r="AC4" s="13"/>
      <c r="AD4" s="12"/>
      <c r="AE4" s="13"/>
      <c r="AF4" s="13"/>
      <c r="AG4" s="14"/>
      <c r="AI4" s="11"/>
      <c r="AJ4" s="15"/>
    </row>
    <row r="5" spans="1:37" s="1" customFormat="1" ht="30" x14ac:dyDescent="0.25">
      <c r="A5" s="1" t="s">
        <v>66</v>
      </c>
      <c r="B5" s="46">
        <f t="shared" ref="B5:B12" si="0">D5+F5+H5+J5+L5</f>
        <v>1965.15</v>
      </c>
      <c r="C5" s="47">
        <f t="shared" ref="C5:C11" si="1">B5*1.2</f>
        <v>2358.1799999999998</v>
      </c>
      <c r="D5" s="48">
        <v>19.43</v>
      </c>
      <c r="E5" s="49">
        <f t="shared" ref="E5:E11" si="2">D5*1.2</f>
        <v>23.315999999999999</v>
      </c>
      <c r="F5" s="48">
        <f t="shared" ref="F5:F11" si="3">$F$4/7</f>
        <v>1214</v>
      </c>
      <c r="G5" s="49">
        <f t="shared" ref="G5:G11" si="4">F5*1.2</f>
        <v>1456.8</v>
      </c>
      <c r="H5" s="48">
        <f t="shared" ref="H5:H11" si="5">$H$4/7</f>
        <v>162.43</v>
      </c>
      <c r="I5" s="49">
        <f t="shared" ref="I5:I11" si="6">H5*1.2</f>
        <v>194.916</v>
      </c>
      <c r="J5" s="48">
        <f t="shared" ref="J5:J11" si="7">$J$4/7</f>
        <v>69.289999999999992</v>
      </c>
      <c r="K5" s="49">
        <f t="shared" ref="K5:K11" si="8">J5*1.2</f>
        <v>83.147999999999982</v>
      </c>
      <c r="L5" s="48">
        <f t="shared" ref="L5:L11" si="9">$L$4/7</f>
        <v>500</v>
      </c>
      <c r="M5" s="49">
        <f t="shared" ref="M5:M11" si="10">L5*1.2</f>
        <v>600</v>
      </c>
      <c r="N5" s="3"/>
      <c r="O5" s="3"/>
      <c r="P5" s="9"/>
      <c r="Q5" s="5"/>
      <c r="R5" s="5"/>
      <c r="S5" s="9"/>
      <c r="T5" s="5"/>
      <c r="U5" s="9"/>
      <c r="V5" s="5"/>
      <c r="W5" s="5"/>
      <c r="X5" s="4"/>
      <c r="Y5" s="5"/>
      <c r="Z5" s="5"/>
      <c r="AA5" s="4"/>
      <c r="AB5" s="5"/>
      <c r="AC5" s="5"/>
      <c r="AD5" s="4"/>
      <c r="AE5" s="5"/>
      <c r="AF5" s="5"/>
      <c r="AG5" s="9"/>
      <c r="AI5" s="3"/>
      <c r="AJ5" s="7"/>
    </row>
    <row r="6" spans="1:37" s="1" customFormat="1" ht="30" x14ac:dyDescent="0.25">
      <c r="A6" s="1" t="s">
        <v>67</v>
      </c>
      <c r="B6" s="46">
        <f t="shared" si="0"/>
        <v>1965.15</v>
      </c>
      <c r="C6" s="47">
        <f t="shared" si="1"/>
        <v>2358.1799999999998</v>
      </c>
      <c r="D6" s="48">
        <v>19.43</v>
      </c>
      <c r="E6" s="49">
        <f t="shared" si="2"/>
        <v>23.315999999999999</v>
      </c>
      <c r="F6" s="48">
        <f t="shared" si="3"/>
        <v>1214</v>
      </c>
      <c r="G6" s="49">
        <f t="shared" si="4"/>
        <v>1456.8</v>
      </c>
      <c r="H6" s="48">
        <f t="shared" si="5"/>
        <v>162.43</v>
      </c>
      <c r="I6" s="49">
        <f t="shared" si="6"/>
        <v>194.916</v>
      </c>
      <c r="J6" s="48">
        <f t="shared" si="7"/>
        <v>69.289999999999992</v>
      </c>
      <c r="K6" s="49">
        <f t="shared" si="8"/>
        <v>83.147999999999982</v>
      </c>
      <c r="L6" s="48">
        <f t="shared" si="9"/>
        <v>500</v>
      </c>
      <c r="M6" s="49">
        <f t="shared" si="10"/>
        <v>600</v>
      </c>
      <c r="N6" s="3"/>
      <c r="O6" s="3"/>
      <c r="P6" s="9"/>
      <c r="Q6" s="5"/>
      <c r="R6" s="5"/>
      <c r="S6" s="9"/>
      <c r="T6" s="5"/>
      <c r="U6" s="9"/>
      <c r="V6" s="5"/>
      <c r="W6" s="5"/>
      <c r="X6" s="4"/>
      <c r="Y6" s="5"/>
      <c r="Z6" s="5"/>
      <c r="AA6" s="4"/>
      <c r="AB6" s="5"/>
      <c r="AC6" s="5"/>
      <c r="AD6" s="4"/>
      <c r="AE6" s="5"/>
      <c r="AF6" s="5"/>
      <c r="AG6" s="9"/>
      <c r="AI6" s="3"/>
      <c r="AJ6" s="7"/>
    </row>
    <row r="7" spans="1:37" s="1" customFormat="1" ht="30" x14ac:dyDescent="0.25">
      <c r="A7" s="1" t="s">
        <v>68</v>
      </c>
      <c r="B7" s="46">
        <f t="shared" si="0"/>
        <v>1965.15</v>
      </c>
      <c r="C7" s="47">
        <f t="shared" si="1"/>
        <v>2358.1799999999998</v>
      </c>
      <c r="D7" s="48">
        <v>19.43</v>
      </c>
      <c r="E7" s="49">
        <f t="shared" si="2"/>
        <v>23.315999999999999</v>
      </c>
      <c r="F7" s="48">
        <f t="shared" si="3"/>
        <v>1214</v>
      </c>
      <c r="G7" s="49">
        <f t="shared" si="4"/>
        <v>1456.8</v>
      </c>
      <c r="H7" s="48">
        <f t="shared" si="5"/>
        <v>162.43</v>
      </c>
      <c r="I7" s="49">
        <f t="shared" si="6"/>
        <v>194.916</v>
      </c>
      <c r="J7" s="48">
        <f t="shared" si="7"/>
        <v>69.289999999999992</v>
      </c>
      <c r="K7" s="49">
        <f t="shared" si="8"/>
        <v>83.147999999999982</v>
      </c>
      <c r="L7" s="48">
        <f t="shared" si="9"/>
        <v>500</v>
      </c>
      <c r="M7" s="49">
        <f t="shared" si="10"/>
        <v>600</v>
      </c>
      <c r="N7" s="3"/>
      <c r="O7" s="3"/>
      <c r="P7" s="9"/>
      <c r="Q7" s="5"/>
      <c r="R7" s="5"/>
      <c r="S7" s="9"/>
      <c r="T7" s="5"/>
      <c r="U7" s="9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9"/>
      <c r="AI7" s="3"/>
      <c r="AJ7" s="7"/>
    </row>
    <row r="8" spans="1:37" s="1" customFormat="1" x14ac:dyDescent="0.25">
      <c r="A8" s="1" t="s">
        <v>69</v>
      </c>
      <c r="B8" s="46">
        <f t="shared" si="0"/>
        <v>1965.15</v>
      </c>
      <c r="C8" s="47">
        <f t="shared" si="1"/>
        <v>2358.1799999999998</v>
      </c>
      <c r="D8" s="48">
        <v>19.43</v>
      </c>
      <c r="E8" s="49">
        <f t="shared" si="2"/>
        <v>23.315999999999999</v>
      </c>
      <c r="F8" s="48">
        <f t="shared" si="3"/>
        <v>1214</v>
      </c>
      <c r="G8" s="49">
        <f t="shared" si="4"/>
        <v>1456.8</v>
      </c>
      <c r="H8" s="48">
        <f t="shared" si="5"/>
        <v>162.43</v>
      </c>
      <c r="I8" s="49">
        <f t="shared" si="6"/>
        <v>194.916</v>
      </c>
      <c r="J8" s="48">
        <f t="shared" si="7"/>
        <v>69.289999999999992</v>
      </c>
      <c r="K8" s="49">
        <f t="shared" si="8"/>
        <v>83.147999999999982</v>
      </c>
      <c r="L8" s="48">
        <f t="shared" si="9"/>
        <v>500</v>
      </c>
      <c r="M8" s="49">
        <f t="shared" si="10"/>
        <v>600</v>
      </c>
      <c r="N8" s="3"/>
      <c r="O8" s="3"/>
      <c r="P8" s="9"/>
      <c r="Q8" s="5"/>
      <c r="R8" s="5"/>
      <c r="S8" s="9"/>
      <c r="T8" s="5"/>
      <c r="U8" s="9"/>
      <c r="V8" s="5"/>
      <c r="W8" s="5"/>
      <c r="X8" s="4"/>
      <c r="Y8" s="5"/>
      <c r="Z8" s="5"/>
      <c r="AA8" s="4"/>
      <c r="AB8" s="5"/>
      <c r="AC8" s="5"/>
      <c r="AD8" s="4"/>
      <c r="AE8" s="5"/>
      <c r="AF8" s="5"/>
      <c r="AG8" s="9"/>
      <c r="AI8" s="3"/>
      <c r="AJ8" s="7"/>
    </row>
    <row r="9" spans="1:37" s="1" customFormat="1" ht="30" x14ac:dyDescent="0.25">
      <c r="A9" s="1" t="s">
        <v>70</v>
      </c>
      <c r="B9" s="46">
        <f t="shared" si="0"/>
        <v>1965.15</v>
      </c>
      <c r="C9" s="47">
        <f t="shared" si="1"/>
        <v>2358.1799999999998</v>
      </c>
      <c r="D9" s="48">
        <v>19.43</v>
      </c>
      <c r="E9" s="49">
        <f t="shared" si="2"/>
        <v>23.315999999999999</v>
      </c>
      <c r="F9" s="48">
        <f t="shared" si="3"/>
        <v>1214</v>
      </c>
      <c r="G9" s="49">
        <f t="shared" si="4"/>
        <v>1456.8</v>
      </c>
      <c r="H9" s="48">
        <f t="shared" si="5"/>
        <v>162.43</v>
      </c>
      <c r="I9" s="49">
        <f t="shared" si="6"/>
        <v>194.916</v>
      </c>
      <c r="J9" s="48">
        <f t="shared" si="7"/>
        <v>69.289999999999992</v>
      </c>
      <c r="K9" s="49">
        <f t="shared" si="8"/>
        <v>83.147999999999982</v>
      </c>
      <c r="L9" s="48">
        <f t="shared" si="9"/>
        <v>500</v>
      </c>
      <c r="M9" s="49">
        <f t="shared" si="10"/>
        <v>600</v>
      </c>
      <c r="N9" s="3"/>
      <c r="O9" s="3"/>
      <c r="P9" s="9"/>
      <c r="Q9" s="5"/>
      <c r="R9" s="5"/>
      <c r="S9" s="9"/>
      <c r="T9" s="5"/>
      <c r="U9" s="9"/>
      <c r="V9" s="5"/>
      <c r="W9" s="5"/>
      <c r="X9" s="4"/>
      <c r="Y9" s="5"/>
      <c r="Z9" s="5"/>
      <c r="AA9" s="4"/>
      <c r="AB9" s="5"/>
      <c r="AC9" s="5"/>
      <c r="AD9" s="4"/>
      <c r="AE9" s="5"/>
      <c r="AF9" s="5"/>
      <c r="AG9" s="9"/>
      <c r="AI9" s="3"/>
      <c r="AJ9" s="7"/>
    </row>
    <row r="10" spans="1:37" s="1" customFormat="1" x14ac:dyDescent="0.25">
      <c r="A10" s="1" t="s">
        <v>71</v>
      </c>
      <c r="B10" s="46">
        <f t="shared" si="0"/>
        <v>1965.15</v>
      </c>
      <c r="C10" s="47">
        <f t="shared" si="1"/>
        <v>2358.1799999999998</v>
      </c>
      <c r="D10" s="48">
        <v>19.43</v>
      </c>
      <c r="E10" s="49">
        <f t="shared" si="2"/>
        <v>23.315999999999999</v>
      </c>
      <c r="F10" s="48">
        <f t="shared" si="3"/>
        <v>1214</v>
      </c>
      <c r="G10" s="49">
        <f t="shared" si="4"/>
        <v>1456.8</v>
      </c>
      <c r="H10" s="48">
        <f t="shared" si="5"/>
        <v>162.43</v>
      </c>
      <c r="I10" s="49">
        <f t="shared" si="6"/>
        <v>194.916</v>
      </c>
      <c r="J10" s="48">
        <f t="shared" si="7"/>
        <v>69.289999999999992</v>
      </c>
      <c r="K10" s="49">
        <f t="shared" si="8"/>
        <v>83.147999999999982</v>
      </c>
      <c r="L10" s="48">
        <f t="shared" si="9"/>
        <v>500</v>
      </c>
      <c r="M10" s="49">
        <f t="shared" si="10"/>
        <v>600</v>
      </c>
      <c r="N10" s="3"/>
      <c r="O10" s="3"/>
      <c r="P10" s="9"/>
      <c r="Q10" s="5"/>
      <c r="R10" s="5"/>
      <c r="S10" s="9"/>
      <c r="T10" s="5"/>
      <c r="U10" s="9"/>
      <c r="V10" s="5"/>
      <c r="W10" s="5"/>
      <c r="X10" s="4"/>
      <c r="Y10" s="5"/>
      <c r="Z10" s="5"/>
      <c r="AA10" s="4"/>
      <c r="AB10" s="5"/>
      <c r="AC10" s="5"/>
      <c r="AD10" s="4"/>
      <c r="AE10" s="5"/>
      <c r="AF10" s="5"/>
      <c r="AG10" s="9"/>
      <c r="AI10" s="3"/>
      <c r="AJ10" s="7"/>
    </row>
    <row r="11" spans="1:37" s="1" customFormat="1" x14ac:dyDescent="0.25">
      <c r="A11" s="1" t="s">
        <v>72</v>
      </c>
      <c r="B11" s="46">
        <f t="shared" si="0"/>
        <v>1965.15</v>
      </c>
      <c r="C11" s="47">
        <f t="shared" si="1"/>
        <v>2358.1799999999998</v>
      </c>
      <c r="D11" s="48">
        <v>19.43</v>
      </c>
      <c r="E11" s="49">
        <f t="shared" si="2"/>
        <v>23.315999999999999</v>
      </c>
      <c r="F11" s="48">
        <f t="shared" si="3"/>
        <v>1214</v>
      </c>
      <c r="G11" s="49">
        <f t="shared" si="4"/>
        <v>1456.8</v>
      </c>
      <c r="H11" s="48">
        <f t="shared" si="5"/>
        <v>162.43</v>
      </c>
      <c r="I11" s="49">
        <f t="shared" si="6"/>
        <v>194.916</v>
      </c>
      <c r="J11" s="48">
        <f t="shared" si="7"/>
        <v>69.289999999999992</v>
      </c>
      <c r="K11" s="49">
        <f t="shared" si="8"/>
        <v>83.147999999999982</v>
      </c>
      <c r="L11" s="48">
        <f t="shared" si="9"/>
        <v>500</v>
      </c>
      <c r="M11" s="49">
        <f t="shared" si="10"/>
        <v>600</v>
      </c>
      <c r="N11" s="3"/>
      <c r="O11" s="3"/>
      <c r="P11" s="9"/>
      <c r="Q11" s="5"/>
      <c r="R11" s="5"/>
      <c r="S11" s="9"/>
      <c r="T11" s="5"/>
      <c r="U11" s="9"/>
      <c r="V11" s="5"/>
      <c r="W11" s="5"/>
      <c r="X11" s="4"/>
      <c r="Y11" s="5"/>
      <c r="Z11" s="5"/>
      <c r="AA11" s="4"/>
      <c r="AB11" s="5"/>
      <c r="AC11" s="5"/>
      <c r="AD11" s="4"/>
      <c r="AE11" s="5"/>
      <c r="AF11" s="5"/>
      <c r="AG11" s="9"/>
      <c r="AI11" s="3"/>
      <c r="AJ11" s="7"/>
    </row>
    <row r="12" spans="1:37" s="10" customFormat="1" ht="30" x14ac:dyDescent="0.25">
      <c r="A12" s="10" t="s">
        <v>73</v>
      </c>
      <c r="B12" s="42">
        <f t="shared" si="0"/>
        <v>13756.050000000001</v>
      </c>
      <c r="C12" s="45">
        <f>E12+G12+I12+K12+M12</f>
        <v>16507.259999999998</v>
      </c>
      <c r="D12" s="44">
        <f t="shared" ref="D12:M12" si="11">SUM(D5:D11)</f>
        <v>136.01000000000002</v>
      </c>
      <c r="E12" s="45">
        <f t="shared" si="11"/>
        <v>163.21199999999999</v>
      </c>
      <c r="F12" s="44">
        <f t="shared" si="11"/>
        <v>8498</v>
      </c>
      <c r="G12" s="45">
        <f t="shared" si="11"/>
        <v>10197.599999999999</v>
      </c>
      <c r="H12" s="44">
        <f t="shared" si="11"/>
        <v>1137.0100000000002</v>
      </c>
      <c r="I12" s="45">
        <f t="shared" si="11"/>
        <v>1364.4119999999998</v>
      </c>
      <c r="J12" s="44">
        <f t="shared" si="11"/>
        <v>485.02999999999986</v>
      </c>
      <c r="K12" s="45">
        <f t="shared" si="11"/>
        <v>582.03599999999983</v>
      </c>
      <c r="L12" s="44">
        <f t="shared" si="11"/>
        <v>3500</v>
      </c>
      <c r="M12" s="45">
        <f t="shared" si="11"/>
        <v>4200</v>
      </c>
      <c r="N12" s="11"/>
      <c r="O12" s="11"/>
      <c r="P12" s="14"/>
      <c r="Q12" s="5"/>
      <c r="R12" s="5"/>
      <c r="S12" s="9"/>
      <c r="T12" s="13"/>
      <c r="U12" s="14"/>
      <c r="V12" s="13"/>
      <c r="W12" s="13"/>
      <c r="X12" s="12"/>
      <c r="Y12" s="13"/>
      <c r="Z12" s="13"/>
      <c r="AA12" s="12"/>
      <c r="AB12" s="13"/>
      <c r="AC12" s="13"/>
      <c r="AD12" s="12"/>
      <c r="AE12" s="13"/>
      <c r="AF12" s="13"/>
      <c r="AG12" s="14"/>
      <c r="AI12" s="11"/>
      <c r="AJ12" s="15"/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74"/>
  <sheetViews>
    <sheetView workbookViewId="0">
      <selection activeCell="D30" sqref="D30"/>
    </sheetView>
  </sheetViews>
  <sheetFormatPr baseColWidth="10" defaultColWidth="9.140625" defaultRowHeight="15" x14ac:dyDescent="0.25"/>
  <cols>
    <col min="1" max="1024" width="9.140625" style="1"/>
  </cols>
  <sheetData>
    <row r="1" spans="1:1024" ht="120" x14ac:dyDescent="0.25">
      <c r="A1" s="10" t="s">
        <v>74</v>
      </c>
      <c r="B1"/>
      <c r="C1"/>
      <c r="D1" s="10" t="s">
        <v>75</v>
      </c>
      <c r="E1"/>
      <c r="F1"/>
      <c r="G1" s="1" t="s">
        <v>8</v>
      </c>
      <c r="H1"/>
      <c r="I1"/>
      <c r="J1" s="1" t="s">
        <v>76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45" x14ac:dyDescent="0.25">
      <c r="A2" s="1" t="s">
        <v>77</v>
      </c>
      <c r="B2" s="50">
        <v>2014</v>
      </c>
      <c r="C2"/>
      <c r="D2" s="1" t="s">
        <v>77</v>
      </c>
      <c r="E2" s="50">
        <v>2014</v>
      </c>
      <c r="F2"/>
      <c r="G2" s="1" t="s">
        <v>77</v>
      </c>
      <c r="H2" s="19">
        <v>2014</v>
      </c>
      <c r="I2"/>
      <c r="J2" s="1" t="s">
        <v>77</v>
      </c>
      <c r="K2" s="50">
        <v>2014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30" x14ac:dyDescent="0.25">
      <c r="A3" s="19" t="s">
        <v>78</v>
      </c>
      <c r="B3" s="51" t="s">
        <v>79</v>
      </c>
      <c r="C3"/>
      <c r="D3" s="19" t="s">
        <v>78</v>
      </c>
      <c r="E3" s="51" t="s">
        <v>79</v>
      </c>
      <c r="F3"/>
      <c r="G3" s="19" t="s">
        <v>78</v>
      </c>
      <c r="H3" s="51" t="s">
        <v>79</v>
      </c>
      <c r="I3"/>
      <c r="J3" s="19" t="s">
        <v>78</v>
      </c>
      <c r="K3" s="51" t="s">
        <v>79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45" x14ac:dyDescent="0.25">
      <c r="A4" s="52" t="s">
        <v>80</v>
      </c>
      <c r="B4" s="53" t="s">
        <v>81</v>
      </c>
      <c r="C4"/>
      <c r="D4" s="52" t="s">
        <v>80</v>
      </c>
      <c r="E4" s="53" t="s">
        <v>81</v>
      </c>
      <c r="F4"/>
      <c r="G4" s="52" t="s">
        <v>80</v>
      </c>
      <c r="H4" s="53" t="s">
        <v>81</v>
      </c>
      <c r="I4"/>
      <c r="J4" s="52" t="s">
        <v>80</v>
      </c>
      <c r="K4" s="53" t="s">
        <v>81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90" x14ac:dyDescent="0.25">
      <c r="A5" s="19" t="s">
        <v>82</v>
      </c>
      <c r="B5" s="54">
        <v>377540</v>
      </c>
      <c r="C5"/>
      <c r="D5" s="55" t="s">
        <v>83</v>
      </c>
      <c r="E5" s="56">
        <v>24845</v>
      </c>
      <c r="F5"/>
      <c r="G5" s="19" t="s">
        <v>84</v>
      </c>
      <c r="H5" s="54">
        <v>76950</v>
      </c>
      <c r="I5"/>
      <c r="J5" s="55" t="s">
        <v>84</v>
      </c>
      <c r="K5" s="56">
        <v>68549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45" x14ac:dyDescent="0.25">
      <c r="A6" s="19" t="s">
        <v>85</v>
      </c>
      <c r="B6" s="54">
        <v>11400</v>
      </c>
      <c r="C6"/>
      <c r="D6" s="57" t="s">
        <v>86</v>
      </c>
      <c r="E6" s="54">
        <v>2755</v>
      </c>
      <c r="F6"/>
      <c r="G6" s="19" t="s">
        <v>85</v>
      </c>
      <c r="H6" s="54">
        <v>6650</v>
      </c>
      <c r="I6"/>
      <c r="J6" s="57" t="s">
        <v>85</v>
      </c>
      <c r="K6" s="54">
        <v>6650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75" x14ac:dyDescent="0.25">
      <c r="A7" s="19" t="s">
        <v>87</v>
      </c>
      <c r="B7" s="54">
        <v>70982</v>
      </c>
      <c r="C7"/>
      <c r="D7" s="52" t="s">
        <v>88</v>
      </c>
      <c r="E7" s="58">
        <f>SUM(E4:E6)</f>
        <v>27600</v>
      </c>
      <c r="F7"/>
      <c r="G7" s="52" t="s">
        <v>88</v>
      </c>
      <c r="H7" s="58">
        <f>SUM(H4:H6)</f>
        <v>83600</v>
      </c>
      <c r="I7"/>
      <c r="J7" s="52" t="s">
        <v>88</v>
      </c>
      <c r="K7" s="58">
        <f>SUM(K4:K6)</f>
        <v>75199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60" x14ac:dyDescent="0.25">
      <c r="A8" s="52" t="s">
        <v>88</v>
      </c>
      <c r="B8" s="58">
        <f>SUM(B5:B7)</f>
        <v>459922</v>
      </c>
      <c r="C8"/>
      <c r="D8" s="21"/>
      <c r="E8" s="59"/>
      <c r="F8"/>
      <c r="G8" s="21"/>
      <c r="H8" s="59"/>
      <c r="I8"/>
      <c r="J8" s="21"/>
      <c r="K8" s="5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45" x14ac:dyDescent="0.25">
      <c r="A9" s="21"/>
      <c r="B9" s="59"/>
      <c r="C9"/>
      <c r="D9" s="52" t="s">
        <v>89</v>
      </c>
      <c r="E9" s="58" t="s">
        <v>90</v>
      </c>
      <c r="F9"/>
      <c r="G9" s="52" t="s">
        <v>91</v>
      </c>
      <c r="H9" s="58" t="s">
        <v>92</v>
      </c>
      <c r="I9"/>
      <c r="J9" s="52" t="s">
        <v>91</v>
      </c>
      <c r="K9" s="58" t="s">
        <v>92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90" x14ac:dyDescent="0.25">
      <c r="A10" s="52" t="s">
        <v>89</v>
      </c>
      <c r="B10" s="58" t="s">
        <v>90</v>
      </c>
      <c r="C10"/>
      <c r="D10" s="19" t="s">
        <v>93</v>
      </c>
      <c r="E10" s="60"/>
      <c r="F10"/>
      <c r="G10" s="19" t="s">
        <v>94</v>
      </c>
      <c r="H10" s="60"/>
      <c r="I10"/>
      <c r="J10" s="19" t="s">
        <v>95</v>
      </c>
      <c r="K10" s="5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35" x14ac:dyDescent="0.25">
      <c r="A11" s="19" t="s">
        <v>96</v>
      </c>
      <c r="B11" s="54">
        <v>15000</v>
      </c>
      <c r="C11"/>
      <c r="D11" s="19" t="s">
        <v>97</v>
      </c>
      <c r="E11" s="60">
        <v>500</v>
      </c>
      <c r="F11"/>
      <c r="G11" s="19" t="s">
        <v>98</v>
      </c>
      <c r="H11" s="54"/>
      <c r="I11"/>
      <c r="J11" s="19" t="s">
        <v>99</v>
      </c>
      <c r="K11" s="5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35" x14ac:dyDescent="0.25">
      <c r="A12" s="19" t="s">
        <v>100</v>
      </c>
      <c r="B12" s="54"/>
      <c r="C12"/>
      <c r="D12" s="19" t="s">
        <v>101</v>
      </c>
      <c r="E12" s="54"/>
      <c r="F12"/>
      <c r="G12" s="19" t="s">
        <v>95</v>
      </c>
      <c r="H12" s="54"/>
      <c r="I12"/>
      <c r="J12" s="19" t="s">
        <v>102</v>
      </c>
      <c r="K12" s="5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80" x14ac:dyDescent="0.25">
      <c r="A13" s="19" t="s">
        <v>103</v>
      </c>
      <c r="B13" s="54">
        <v>795</v>
      </c>
      <c r="C13"/>
      <c r="D13" s="19" t="s">
        <v>104</v>
      </c>
      <c r="E13" s="54"/>
      <c r="F13"/>
      <c r="G13" s="19" t="s">
        <v>105</v>
      </c>
      <c r="H13" s="54"/>
      <c r="I13"/>
      <c r="J13" s="19" t="s">
        <v>106</v>
      </c>
      <c r="K13" s="54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65" x14ac:dyDescent="0.25">
      <c r="A14" s="61" t="s">
        <v>107</v>
      </c>
      <c r="B14" s="62"/>
      <c r="C14"/>
      <c r="D14" s="19" t="s">
        <v>108</v>
      </c>
      <c r="E14" s="54">
        <f>442*12</f>
        <v>5304</v>
      </c>
      <c r="F14"/>
      <c r="G14" s="19" t="s">
        <v>109</v>
      </c>
      <c r="H14" s="54"/>
      <c r="I14"/>
      <c r="J14" s="19" t="s">
        <v>110</v>
      </c>
      <c r="K14" s="5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35" x14ac:dyDescent="0.25">
      <c r="A15" s="19" t="s">
        <v>111</v>
      </c>
      <c r="B15" s="54"/>
      <c r="C15"/>
      <c r="D15" s="19" t="s">
        <v>112</v>
      </c>
      <c r="E15" s="54"/>
      <c r="F15"/>
      <c r="G15" s="19" t="s">
        <v>113</v>
      </c>
      <c r="H15" s="54"/>
      <c r="I15"/>
      <c r="J15" s="19" t="s">
        <v>114</v>
      </c>
      <c r="K15" s="5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65" x14ac:dyDescent="0.25">
      <c r="A16" s="52" t="s">
        <v>115</v>
      </c>
      <c r="B16" s="58">
        <f>SUM(B11:B15)</f>
        <v>15795</v>
      </c>
      <c r="C16"/>
      <c r="D16" s="19" t="s">
        <v>116</v>
      </c>
      <c r="E16" s="54">
        <f>SUM(E10:E15)</f>
        <v>5804</v>
      </c>
      <c r="F16"/>
      <c r="G16" s="19" t="s">
        <v>117</v>
      </c>
      <c r="H16" s="54"/>
      <c r="I16"/>
      <c r="J16" s="19" t="s">
        <v>118</v>
      </c>
      <c r="K16" s="5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35" x14ac:dyDescent="0.25">
      <c r="A17" s="52" t="s">
        <v>119</v>
      </c>
      <c r="B17" s="58">
        <f>B8+B16</f>
        <v>475717</v>
      </c>
      <c r="C17"/>
      <c r="D17" s="52" t="s">
        <v>119</v>
      </c>
      <c r="E17" s="58">
        <f>E16+E7</f>
        <v>33404</v>
      </c>
      <c r="F17"/>
      <c r="G17" s="19" t="s">
        <v>120</v>
      </c>
      <c r="H17" s="54"/>
      <c r="I17"/>
      <c r="J17" s="63" t="s">
        <v>121</v>
      </c>
      <c r="K17" s="6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0" x14ac:dyDescent="0.25">
      <c r="A18" s="65"/>
      <c r="B18" s="48"/>
      <c r="C18" s="48"/>
      <c r="D18" s="65"/>
      <c r="E18" s="48"/>
      <c r="F18"/>
      <c r="G18" s="19" t="s">
        <v>122</v>
      </c>
      <c r="H18" s="54"/>
      <c r="I18"/>
      <c r="J18" s="19" t="s">
        <v>116</v>
      </c>
      <c r="K18" s="54">
        <f>SUM(K10:K17)</f>
        <v>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68" customFormat="1" ht="75" x14ac:dyDescent="0.25">
      <c r="A19" s="66" t="s">
        <v>123</v>
      </c>
      <c r="B19" s="67"/>
      <c r="C19" s="67"/>
      <c r="D19" s="66" t="s">
        <v>123</v>
      </c>
      <c r="E19" s="67"/>
      <c r="G19" s="19" t="s">
        <v>124</v>
      </c>
      <c r="H19" s="64"/>
      <c r="J19" s="52" t="s">
        <v>119</v>
      </c>
      <c r="K19" s="58">
        <f>K18+K7</f>
        <v>75199</v>
      </c>
    </row>
    <row r="20" spans="1:1024" ht="90" x14ac:dyDescent="0.25">
      <c r="A20" s="19" t="s">
        <v>125</v>
      </c>
      <c r="B20" s="54">
        <v>3500</v>
      </c>
      <c r="C20" s="48"/>
      <c r="D20" s="19" t="s">
        <v>126</v>
      </c>
      <c r="E20" s="54">
        <v>550</v>
      </c>
      <c r="F20"/>
      <c r="G20" s="19" t="s">
        <v>115</v>
      </c>
      <c r="H20" s="54">
        <f>SUM(H10:H19)</f>
        <v>0</v>
      </c>
      <c r="I20"/>
      <c r="J20" s="65"/>
      <c r="K20" s="48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1024" ht="150" x14ac:dyDescent="0.25">
      <c r="A21" s="19" t="s">
        <v>127</v>
      </c>
      <c r="B21" s="69" t="s">
        <v>128</v>
      </c>
      <c r="C21" s="48"/>
      <c r="D21" s="19" t="s">
        <v>129</v>
      </c>
      <c r="E21" s="54">
        <v>2200</v>
      </c>
      <c r="F21"/>
      <c r="G21" s="52" t="s">
        <v>119</v>
      </c>
      <c r="H21" s="58">
        <f>H20+H7</f>
        <v>83600</v>
      </c>
      <c r="I21"/>
      <c r="J21" s="70" t="s">
        <v>123</v>
      </c>
      <c r="K21" s="48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1024" ht="90" x14ac:dyDescent="0.25">
      <c r="A22" s="19" t="s">
        <v>130</v>
      </c>
      <c r="B22" s="54">
        <v>850</v>
      </c>
      <c r="C22" s="48"/>
      <c r="D22" s="19" t="s">
        <v>131</v>
      </c>
      <c r="E22" s="54">
        <v>6419</v>
      </c>
      <c r="F22"/>
      <c r="G22" s="65"/>
      <c r="H22" s="48"/>
      <c r="I22"/>
      <c r="J22" s="19" t="s">
        <v>129</v>
      </c>
      <c r="K22" s="54">
        <v>2200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1024" ht="75" x14ac:dyDescent="0.25">
      <c r="A23" s="19" t="s">
        <v>132</v>
      </c>
      <c r="B23" s="54">
        <v>850</v>
      </c>
      <c r="C23" s="48"/>
      <c r="D23"/>
      <c r="E23"/>
      <c r="F23"/>
      <c r="G23" s="70" t="s">
        <v>123</v>
      </c>
      <c r="H23" s="48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1024" ht="90" x14ac:dyDescent="0.25">
      <c r="A24" s="19" t="s">
        <v>129</v>
      </c>
      <c r="B24" s="54">
        <v>2200</v>
      </c>
      <c r="C24" s="48"/>
      <c r="D24"/>
      <c r="E24"/>
      <c r="F24"/>
      <c r="G24" s="19" t="s">
        <v>129</v>
      </c>
      <c r="H24" s="54">
        <v>2200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1024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1024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1024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1024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1024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024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1024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1024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x14ac:dyDescent="0.25">
      <c r="A46"/>
      <c r="B46"/>
      <c r="C46" s="48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x14ac:dyDescent="0.25">
      <c r="A47"/>
      <c r="B47"/>
      <c r="C47" s="48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x14ac:dyDescent="0.25">
      <c r="A48"/>
      <c r="B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x14ac:dyDescent="0.25">
      <c r="A49"/>
      <c r="B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x14ac:dyDescent="0.25">
      <c r="A50"/>
      <c r="B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05" x14ac:dyDescent="0.25">
      <c r="A51" s="1" t="s">
        <v>133</v>
      </c>
      <c r="B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45" x14ac:dyDescent="0.25">
      <c r="A52" s="1" t="s">
        <v>77</v>
      </c>
      <c r="B52" s="50">
        <v>2014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30" x14ac:dyDescent="0.25">
      <c r="A53" s="19" t="s">
        <v>78</v>
      </c>
      <c r="B53" s="51" t="s">
        <v>79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45" x14ac:dyDescent="0.25">
      <c r="A54" s="52" t="s">
        <v>80</v>
      </c>
      <c r="B54" s="53" t="s">
        <v>81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45" x14ac:dyDescent="0.25">
      <c r="A55" s="55" t="s">
        <v>84</v>
      </c>
      <c r="B55" s="56">
        <v>106150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 t="s">
        <v>134</v>
      </c>
      <c r="Z55" s="71">
        <v>40995.9</v>
      </c>
      <c r="AA55" s="71">
        <v>49031.096400000002</v>
      </c>
      <c r="AB55" s="71"/>
    </row>
    <row r="56" spans="1:28" ht="45" x14ac:dyDescent="0.25">
      <c r="A56" s="57" t="s">
        <v>85</v>
      </c>
      <c r="B56" s="54">
        <v>6650</v>
      </c>
      <c r="O56" s="4"/>
      <c r="P56" s="5"/>
      <c r="Q56" s="5"/>
      <c r="R56" s="4"/>
      <c r="S56" s="5"/>
      <c r="T56" s="5"/>
      <c r="U56" s="4"/>
      <c r="V56" s="5"/>
      <c r="W56" s="5"/>
      <c r="X56" s="7" t="s">
        <v>135</v>
      </c>
      <c r="Y56" s="4"/>
      <c r="Z56" s="5"/>
      <c r="AA56" s="7" t="s">
        <v>136</v>
      </c>
    </row>
    <row r="57" spans="1:28" ht="60" x14ac:dyDescent="0.25">
      <c r="A57" s="52" t="s">
        <v>88</v>
      </c>
      <c r="B57" s="58">
        <f>SUM(B54:B56)</f>
        <v>112800</v>
      </c>
      <c r="O57" s="4"/>
      <c r="P57" s="5"/>
      <c r="Q57" s="5"/>
      <c r="R57" s="4"/>
      <c r="S57" s="5"/>
      <c r="T57" s="5"/>
      <c r="U57" s="4"/>
      <c r="V57" s="5"/>
      <c r="W57" s="5"/>
      <c r="X57" s="7">
        <v>6.3500000000000001E-2</v>
      </c>
      <c r="Y57" s="5">
        <v>2603.5</v>
      </c>
      <c r="Z57" s="5">
        <v>3113.7860000000001</v>
      </c>
      <c r="AA57" s="7">
        <v>0.110811882825172</v>
      </c>
    </row>
    <row r="58" spans="1:28" x14ac:dyDescent="0.25">
      <c r="A58" s="21"/>
      <c r="B58" s="59"/>
      <c r="O58" s="4"/>
      <c r="P58" s="5"/>
      <c r="Q58" s="5"/>
      <c r="R58" s="4"/>
      <c r="S58" s="5"/>
      <c r="T58" s="5"/>
      <c r="U58" s="4"/>
      <c r="V58" s="5"/>
      <c r="W58" s="5"/>
      <c r="X58" s="7">
        <v>4.9399999999999999E-2</v>
      </c>
      <c r="Y58" s="5">
        <v>2025.4</v>
      </c>
      <c r="Z58" s="5">
        <v>2422.3784000000001</v>
      </c>
      <c r="AA58" s="7">
        <v>1.2856277780295199E-2</v>
      </c>
    </row>
    <row r="59" spans="1:28" x14ac:dyDescent="0.25">
      <c r="A59" s="52" t="s">
        <v>91</v>
      </c>
      <c r="B59" s="58" t="s">
        <v>92</v>
      </c>
      <c r="O59" s="4"/>
      <c r="P59" s="5"/>
      <c r="Q59" s="5"/>
      <c r="R59" s="4"/>
      <c r="S59" s="5"/>
      <c r="T59" s="5"/>
      <c r="U59" s="4"/>
      <c r="V59" s="5"/>
      <c r="W59" s="5"/>
      <c r="X59" s="7">
        <v>2.3199999999999998E-2</v>
      </c>
      <c r="Y59" s="5">
        <v>951.2</v>
      </c>
      <c r="Z59" s="5">
        <v>1137.6351999999999</v>
      </c>
      <c r="AA59" s="7">
        <v>3.5321249452106199E-2</v>
      </c>
    </row>
    <row r="60" spans="1:28" ht="75" x14ac:dyDescent="0.25">
      <c r="A60" s="19" t="s">
        <v>95</v>
      </c>
      <c r="B60" s="54"/>
      <c r="O60" s="4"/>
      <c r="P60" s="5"/>
      <c r="Q60" s="5"/>
      <c r="R60" s="4"/>
      <c r="S60" s="5"/>
      <c r="T60" s="5"/>
      <c r="U60" s="4"/>
      <c r="V60" s="5"/>
      <c r="W60" s="5"/>
      <c r="X60" s="7">
        <v>0.17649999999999999</v>
      </c>
      <c r="Y60" s="5">
        <v>7236.5</v>
      </c>
      <c r="Z60" s="5">
        <v>8654.8539999999994</v>
      </c>
      <c r="AA60" s="7">
        <v>0.22199068848881401</v>
      </c>
    </row>
    <row r="61" spans="1:28" ht="75" x14ac:dyDescent="0.25">
      <c r="A61" s="19" t="s">
        <v>137</v>
      </c>
      <c r="B61" s="54"/>
      <c r="O61" s="4"/>
      <c r="P61" s="5"/>
      <c r="Q61" s="5"/>
      <c r="R61" s="4"/>
      <c r="S61" s="5"/>
      <c r="T61" s="5"/>
      <c r="U61" s="4"/>
      <c r="V61" s="5"/>
      <c r="W61" s="5"/>
      <c r="X61" s="7">
        <v>9.9400000000000002E-2</v>
      </c>
      <c r="Y61" s="5">
        <v>4075.4</v>
      </c>
      <c r="Z61" s="5">
        <v>4874.1783999999998</v>
      </c>
      <c r="AA61" s="7">
        <v>0.110811882825172</v>
      </c>
    </row>
    <row r="62" spans="1:28" ht="135" x14ac:dyDescent="0.25">
      <c r="A62" s="19" t="s">
        <v>102</v>
      </c>
      <c r="B62" s="54"/>
      <c r="O62" s="4"/>
      <c r="P62" s="5"/>
      <c r="Q62" s="5"/>
      <c r="R62" s="4"/>
      <c r="S62" s="5"/>
      <c r="T62" s="5"/>
      <c r="U62" s="4"/>
      <c r="V62" s="5"/>
      <c r="W62" s="5"/>
      <c r="X62" s="7">
        <v>8.0000000000000002E-3</v>
      </c>
      <c r="Y62" s="5">
        <v>328</v>
      </c>
      <c r="Z62" s="5">
        <v>392.28800000000001</v>
      </c>
      <c r="AA62" s="7">
        <v>0</v>
      </c>
    </row>
    <row r="63" spans="1:28" ht="135" x14ac:dyDescent="0.25">
      <c r="A63" s="19" t="s">
        <v>106</v>
      </c>
      <c r="B63" s="54"/>
      <c r="O63" s="4"/>
      <c r="P63" s="5"/>
      <c r="Q63" s="5"/>
      <c r="R63" s="4"/>
      <c r="S63" s="5"/>
      <c r="T63" s="5"/>
      <c r="U63" s="4"/>
      <c r="V63" s="5"/>
      <c r="W63" s="5"/>
      <c r="X63" s="7">
        <v>2.4E-2</v>
      </c>
      <c r="Y63" s="5">
        <v>984</v>
      </c>
      <c r="Z63" s="5">
        <v>1176.864</v>
      </c>
      <c r="AA63" s="7"/>
    </row>
    <row r="64" spans="1:28" ht="165" x14ac:dyDescent="0.25">
      <c r="A64" s="19" t="s">
        <v>110</v>
      </c>
      <c r="B64" s="54"/>
      <c r="O64" s="4"/>
      <c r="P64" s="5"/>
      <c r="Q64" s="5"/>
      <c r="R64" s="4"/>
      <c r="S64" s="5"/>
      <c r="T64" s="5"/>
      <c r="U64" s="4"/>
      <c r="V64" s="5"/>
      <c r="W64" s="5"/>
      <c r="X64" s="7">
        <v>1.41E-2</v>
      </c>
      <c r="Y64" s="5">
        <v>578.1</v>
      </c>
      <c r="Z64" s="5">
        <v>691.4076</v>
      </c>
      <c r="AA64" s="7"/>
    </row>
    <row r="65" spans="1:27" ht="135" x14ac:dyDescent="0.25">
      <c r="A65" s="19" t="s">
        <v>114</v>
      </c>
      <c r="B65" s="54"/>
      <c r="O65" s="4"/>
      <c r="P65" s="5"/>
      <c r="Q65" s="5"/>
      <c r="R65" s="4"/>
      <c r="S65" s="5"/>
      <c r="T65" s="5"/>
      <c r="U65" s="4"/>
      <c r="V65" s="5"/>
      <c r="W65" s="5"/>
      <c r="X65" s="7"/>
      <c r="Y65" s="5"/>
      <c r="Z65" s="5"/>
      <c r="AA65" s="7">
        <v>5.8875302039316103E-2</v>
      </c>
    </row>
    <row r="66" spans="1:27" ht="150" x14ac:dyDescent="0.25">
      <c r="A66" s="19" t="s">
        <v>118</v>
      </c>
      <c r="B66" s="54"/>
      <c r="O66" s="4"/>
      <c r="P66" s="5"/>
      <c r="Q66" s="5"/>
      <c r="R66" s="4"/>
      <c r="S66" s="5"/>
      <c r="T66" s="5"/>
      <c r="U66" s="4"/>
      <c r="V66" s="5"/>
      <c r="W66" s="5"/>
      <c r="X66" s="7">
        <v>5.1999999999999998E-2</v>
      </c>
      <c r="Y66" s="5">
        <v>2132</v>
      </c>
      <c r="Z66" s="5">
        <v>2549.8719999999998</v>
      </c>
      <c r="AA66" s="7">
        <v>8.1537554338618104E-2</v>
      </c>
    </row>
    <row r="67" spans="1:27" ht="60" x14ac:dyDescent="0.25">
      <c r="A67" s="63" t="s">
        <v>124</v>
      </c>
      <c r="B67" s="64"/>
      <c r="O67" s="4"/>
      <c r="P67" s="5"/>
      <c r="Q67" s="5"/>
      <c r="R67" s="4"/>
      <c r="S67" s="5"/>
      <c r="T67" s="5"/>
      <c r="U67" s="4"/>
      <c r="V67" s="5"/>
      <c r="W67" s="5"/>
      <c r="X67" s="7">
        <v>0.1011</v>
      </c>
      <c r="Y67" s="5">
        <v>4145.1000000000004</v>
      </c>
      <c r="Z67" s="5">
        <v>4957.5396000000001</v>
      </c>
      <c r="AA67" s="7">
        <v>0.136011361950751</v>
      </c>
    </row>
    <row r="68" spans="1:27" ht="30" x14ac:dyDescent="0.25">
      <c r="A68" s="19" t="s">
        <v>116</v>
      </c>
      <c r="B68" s="54">
        <f>SUM(B60:B67)</f>
        <v>0</v>
      </c>
      <c r="O68" s="4"/>
      <c r="P68" s="5"/>
      <c r="Q68" s="5"/>
      <c r="R68" s="4"/>
      <c r="S68" s="5"/>
      <c r="T68" s="5"/>
      <c r="U68" s="4"/>
      <c r="V68" s="5"/>
      <c r="W68" s="5"/>
      <c r="X68" s="7">
        <v>6.8999999999999999E-3</v>
      </c>
      <c r="Y68" s="5">
        <v>282.89999999999998</v>
      </c>
      <c r="Z68" s="5">
        <v>338.34840000000003</v>
      </c>
      <c r="AA68" s="7"/>
    </row>
    <row r="69" spans="1:27" ht="30" x14ac:dyDescent="0.25">
      <c r="A69" s="52" t="s">
        <v>119</v>
      </c>
      <c r="B69" s="58">
        <f>B68+B57</f>
        <v>112800</v>
      </c>
      <c r="O69" s="4"/>
      <c r="P69" s="5"/>
      <c r="Q69" s="5"/>
      <c r="R69" s="4"/>
      <c r="S69" s="5"/>
      <c r="T69" s="5"/>
      <c r="U69" s="4"/>
      <c r="V69" s="5"/>
      <c r="W69" s="5"/>
      <c r="X69" s="7">
        <v>5.3999999999999999E-2</v>
      </c>
      <c r="Y69" s="5">
        <v>2214</v>
      </c>
      <c r="Z69" s="5">
        <v>2647.944</v>
      </c>
      <c r="AA69" s="7">
        <v>5.7956272916372002E-2</v>
      </c>
    </row>
    <row r="70" spans="1:27" x14ac:dyDescent="0.25">
      <c r="A70" s="65"/>
      <c r="B70" s="48"/>
      <c r="O70" s="4"/>
      <c r="P70" s="5"/>
      <c r="Q70" s="5"/>
      <c r="R70" s="4"/>
      <c r="S70" s="5"/>
      <c r="T70" s="5"/>
      <c r="U70" s="4"/>
      <c r="V70" s="5"/>
      <c r="W70" s="5"/>
      <c r="X70" s="7">
        <v>0.1176</v>
      </c>
      <c r="Y70" s="5">
        <v>4821.6000000000004</v>
      </c>
      <c r="Z70" s="5">
        <v>5766.6336000000001</v>
      </c>
      <c r="AA70" s="7">
        <v>0.13584782123240699</v>
      </c>
    </row>
    <row r="71" spans="1:27" ht="75" x14ac:dyDescent="0.25">
      <c r="A71" s="70" t="s">
        <v>123</v>
      </c>
      <c r="B71" s="48"/>
      <c r="O71" s="4"/>
      <c r="P71" s="5"/>
      <c r="Q71" s="5"/>
      <c r="R71" s="4"/>
      <c r="S71" s="5"/>
      <c r="T71" s="5"/>
      <c r="U71" s="4"/>
      <c r="V71" s="5"/>
      <c r="W71" s="5"/>
      <c r="X71" s="7">
        <v>6.4699999999999994E-2</v>
      </c>
      <c r="Y71" s="5">
        <v>2652.7</v>
      </c>
      <c r="Z71" s="5">
        <v>3172.6291999999999</v>
      </c>
      <c r="AA71" s="7">
        <v>1.9195345695559099E-2</v>
      </c>
    </row>
    <row r="72" spans="1:27" ht="90" x14ac:dyDescent="0.25">
      <c r="A72" s="19" t="s">
        <v>129</v>
      </c>
      <c r="B72" s="54">
        <v>2200</v>
      </c>
      <c r="O72" s="4"/>
      <c r="P72" s="5"/>
      <c r="Q72" s="5"/>
      <c r="R72" s="4"/>
      <c r="S72" s="5"/>
      <c r="T72" s="5"/>
      <c r="U72" s="4"/>
      <c r="V72" s="5"/>
      <c r="W72" s="5"/>
      <c r="X72" s="7">
        <v>5.1400000000000001E-2</v>
      </c>
      <c r="Y72" s="5">
        <v>2107.4</v>
      </c>
      <c r="Z72" s="5">
        <v>2520.4504000000002</v>
      </c>
      <c r="AA72" s="7">
        <v>1.8798646169703601E-2</v>
      </c>
    </row>
    <row r="73" spans="1:27" x14ac:dyDescent="0.25">
      <c r="O73" s="4"/>
      <c r="P73" s="5"/>
      <c r="Q73" s="5"/>
      <c r="R73" s="4"/>
      <c r="S73" s="5"/>
      <c r="T73" s="5"/>
      <c r="U73" s="4"/>
      <c r="V73" s="5"/>
      <c r="W73" s="5"/>
      <c r="X73" s="7"/>
      <c r="Y73" s="5"/>
      <c r="Z73" s="5"/>
      <c r="AA73" s="7"/>
    </row>
    <row r="74" spans="1:27" x14ac:dyDescent="0.25">
      <c r="O74" s="4"/>
      <c r="P74" s="5"/>
      <c r="Q74" s="5"/>
      <c r="R74" s="4"/>
      <c r="S74" s="5"/>
      <c r="T74" s="5"/>
      <c r="U74" s="4"/>
      <c r="V74" s="5"/>
      <c r="W74" s="5"/>
      <c r="X74" s="7">
        <v>9.4100000000000003E-2</v>
      </c>
      <c r="Y74" s="5">
        <v>3858.1</v>
      </c>
      <c r="Z74" s="5">
        <v>4614.2875999999997</v>
      </c>
      <c r="AA74" s="7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L28"/>
  <sheetViews>
    <sheetView workbookViewId="0">
      <selection activeCell="F34" sqref="F34"/>
    </sheetView>
  </sheetViews>
  <sheetFormatPr baseColWidth="10" defaultColWidth="9.140625" defaultRowHeight="15" x14ac:dyDescent="0.25"/>
  <cols>
    <col min="7" max="12" width="0" hidden="1"/>
  </cols>
  <sheetData>
    <row r="1" spans="1:12" x14ac:dyDescent="0.25">
      <c r="C1" t="s">
        <v>138</v>
      </c>
      <c r="D1" s="72" t="s">
        <v>64</v>
      </c>
      <c r="E1" s="72" t="s">
        <v>65</v>
      </c>
      <c r="F1" s="28" t="s">
        <v>139</v>
      </c>
      <c r="I1" t="s">
        <v>140</v>
      </c>
      <c r="J1" s="72" t="s">
        <v>64</v>
      </c>
      <c r="K1" s="72" t="s">
        <v>65</v>
      </c>
      <c r="L1" s="28" t="s">
        <v>139</v>
      </c>
    </row>
    <row r="2" spans="1:12" x14ac:dyDescent="0.25">
      <c r="A2" s="73" t="s">
        <v>141</v>
      </c>
      <c r="B2" s="74"/>
      <c r="C2" s="75" t="s">
        <v>142</v>
      </c>
      <c r="D2" s="76" t="e">
        <f>IF(C2=#REF!,#REF!,(D28-D26-D24))</f>
        <v>#REF!</v>
      </c>
      <c r="E2" s="77" t="e">
        <f t="shared" ref="E2:E18" si="0">D2*1.2</f>
        <v>#REF!</v>
      </c>
      <c r="G2" s="73" t="s">
        <v>141</v>
      </c>
      <c r="H2" s="74"/>
      <c r="I2" s="75" t="s">
        <v>142</v>
      </c>
      <c r="J2" s="76">
        <f>J27-J25-J23</f>
        <v>80000</v>
      </c>
      <c r="K2" s="77">
        <f t="shared" ref="K2:K18" si="1">J2*1.2</f>
        <v>96000</v>
      </c>
    </row>
    <row r="3" spans="1:12" x14ac:dyDescent="0.25">
      <c r="A3" s="78" t="s">
        <v>18</v>
      </c>
      <c r="B3" s="79" t="s">
        <v>143</v>
      </c>
      <c r="C3" s="80">
        <v>5.0327994600000002E-2</v>
      </c>
      <c r="D3" s="81" t="e">
        <f t="shared" ref="D3:D18" si="2">C3*$D$2</f>
        <v>#REF!</v>
      </c>
      <c r="E3" s="82" t="e">
        <f t="shared" si="0"/>
        <v>#REF!</v>
      </c>
      <c r="G3" s="78" t="s">
        <v>18</v>
      </c>
      <c r="H3" s="79" t="s">
        <v>143</v>
      </c>
      <c r="I3" s="80">
        <v>9.9373944151843405E-2</v>
      </c>
      <c r="J3" s="81">
        <f t="shared" ref="J3:J19" si="3">I3*$J$2</f>
        <v>7949.9155321474727</v>
      </c>
      <c r="K3" s="82">
        <f t="shared" si="1"/>
        <v>9539.8986385769676</v>
      </c>
      <c r="L3" s="83"/>
    </row>
    <row r="4" spans="1:12" ht="30" x14ac:dyDescent="0.25">
      <c r="A4" s="84" t="s">
        <v>19</v>
      </c>
      <c r="B4" s="85" t="s">
        <v>144</v>
      </c>
      <c r="C4" s="83">
        <v>3.9143999999999998E-2</v>
      </c>
      <c r="D4" s="86" t="e">
        <f t="shared" si="2"/>
        <v>#REF!</v>
      </c>
      <c r="E4" s="87" t="e">
        <f t="shared" si="0"/>
        <v>#REF!</v>
      </c>
      <c r="G4" s="84" t="s">
        <v>19</v>
      </c>
      <c r="H4" s="85" t="s">
        <v>144</v>
      </c>
      <c r="I4" s="83">
        <v>8.2568807339449504E-2</v>
      </c>
      <c r="J4" s="86">
        <f t="shared" si="3"/>
        <v>6605.5045871559605</v>
      </c>
      <c r="K4" s="87">
        <f t="shared" si="1"/>
        <v>7926.6055045871526</v>
      </c>
      <c r="L4" s="83"/>
    </row>
    <row r="5" spans="1:12" x14ac:dyDescent="0.25">
      <c r="A5" s="84" t="s">
        <v>145</v>
      </c>
      <c r="B5" s="85" t="s">
        <v>146</v>
      </c>
      <c r="C5" s="83">
        <f>0.0183407</f>
        <v>1.8340700000000001E-2</v>
      </c>
      <c r="D5" s="86" t="e">
        <f t="shared" si="2"/>
        <v>#REF!</v>
      </c>
      <c r="E5" s="87" t="e">
        <f t="shared" si="0"/>
        <v>#REF!</v>
      </c>
      <c r="G5" s="84" t="s">
        <v>145</v>
      </c>
      <c r="H5" s="85" t="s">
        <v>146</v>
      </c>
      <c r="I5" s="83">
        <v>2.9812183245553001E-2</v>
      </c>
      <c r="J5" s="86">
        <f t="shared" si="3"/>
        <v>2384.9746596442401</v>
      </c>
      <c r="K5" s="87">
        <f t="shared" si="1"/>
        <v>2861.9695915730881</v>
      </c>
      <c r="L5" s="83"/>
    </row>
    <row r="6" spans="1:12" ht="30" x14ac:dyDescent="0.25">
      <c r="A6" s="84" t="s">
        <v>21</v>
      </c>
      <c r="B6" s="85" t="s">
        <v>66</v>
      </c>
      <c r="C6" s="83">
        <v>0.15001149221767801</v>
      </c>
      <c r="D6" s="86" t="e">
        <f t="shared" si="2"/>
        <v>#REF!</v>
      </c>
      <c r="E6" s="87" t="e">
        <f t="shared" si="0"/>
        <v>#REF!</v>
      </c>
      <c r="G6" s="84" t="s">
        <v>21</v>
      </c>
      <c r="H6" s="85" t="s">
        <v>66</v>
      </c>
      <c r="I6" s="83">
        <v>0.18881049388850199</v>
      </c>
      <c r="J6" s="86">
        <f t="shared" si="3"/>
        <v>15104.839511080159</v>
      </c>
      <c r="K6" s="87">
        <f t="shared" si="1"/>
        <v>18125.807413296192</v>
      </c>
      <c r="L6" s="83"/>
    </row>
    <row r="7" spans="1:12" ht="30" x14ac:dyDescent="0.25">
      <c r="A7" s="84" t="s">
        <v>22</v>
      </c>
      <c r="B7" s="85" t="s">
        <v>67</v>
      </c>
      <c r="C7" s="83">
        <v>7.8669500000000003E-2</v>
      </c>
      <c r="D7" s="86" t="e">
        <f t="shared" si="2"/>
        <v>#REF!</v>
      </c>
      <c r="E7" s="87" t="e">
        <f t="shared" si="0"/>
        <v>#REF!</v>
      </c>
      <c r="G7" s="84" t="s">
        <v>22</v>
      </c>
      <c r="H7" s="85" t="s">
        <v>67</v>
      </c>
      <c r="I7" s="83">
        <v>9.9373944151843405E-2</v>
      </c>
      <c r="J7" s="86">
        <f t="shared" si="3"/>
        <v>7949.9155321474727</v>
      </c>
      <c r="K7" s="87">
        <f t="shared" si="1"/>
        <v>9539.8986385769676</v>
      </c>
      <c r="L7" s="83"/>
    </row>
    <row r="8" spans="1:12" x14ac:dyDescent="0.25">
      <c r="A8" s="84" t="s">
        <v>23</v>
      </c>
      <c r="B8" s="85" t="s">
        <v>147</v>
      </c>
      <c r="C8" s="83">
        <v>6.3579999999999999E-3</v>
      </c>
      <c r="D8" s="86" t="e">
        <f t="shared" si="2"/>
        <v>#REF!</v>
      </c>
      <c r="E8" s="87" t="e">
        <f t="shared" si="0"/>
        <v>#REF!</v>
      </c>
      <c r="G8" s="84" t="s">
        <v>23</v>
      </c>
      <c r="H8" s="85" t="s">
        <v>147</v>
      </c>
      <c r="I8" s="83">
        <v>9.9373944151843405E-3</v>
      </c>
      <c r="J8" s="86">
        <f t="shared" si="3"/>
        <v>794.99155321474723</v>
      </c>
      <c r="K8" s="87">
        <f t="shared" si="1"/>
        <v>953.98986385769661</v>
      </c>
      <c r="L8" s="83"/>
    </row>
    <row r="9" spans="1:12" x14ac:dyDescent="0.25">
      <c r="A9" s="84" t="s">
        <v>24</v>
      </c>
      <c r="B9" s="85" t="s">
        <v>148</v>
      </c>
      <c r="C9" s="83">
        <v>1.9002739726027399E-2</v>
      </c>
      <c r="D9" s="86" t="e">
        <f t="shared" si="2"/>
        <v>#REF!</v>
      </c>
      <c r="E9" s="87" t="e">
        <f t="shared" si="0"/>
        <v>#REF!</v>
      </c>
      <c r="G9" s="84" t="s">
        <v>24</v>
      </c>
      <c r="H9" s="85" t="s">
        <v>148</v>
      </c>
      <c r="I9" s="83">
        <v>0</v>
      </c>
      <c r="J9" s="86">
        <f t="shared" si="3"/>
        <v>0</v>
      </c>
      <c r="K9" s="87">
        <f t="shared" si="1"/>
        <v>0</v>
      </c>
      <c r="L9" s="83"/>
    </row>
    <row r="10" spans="1:12" x14ac:dyDescent="0.25">
      <c r="A10" s="84" t="s">
        <v>25</v>
      </c>
      <c r="B10" s="85" t="s">
        <v>149</v>
      </c>
      <c r="C10" s="83">
        <v>1.11627906976744E-2</v>
      </c>
      <c r="D10" s="86" t="e">
        <f t="shared" si="2"/>
        <v>#REF!</v>
      </c>
      <c r="E10" s="87" t="e">
        <f t="shared" si="0"/>
        <v>#REF!</v>
      </c>
      <c r="G10" s="84" t="s">
        <v>25</v>
      </c>
      <c r="H10" s="85" t="s">
        <v>149</v>
      </c>
      <c r="I10" s="83">
        <v>0</v>
      </c>
      <c r="J10" s="86">
        <f t="shared" si="3"/>
        <v>0</v>
      </c>
      <c r="K10" s="87">
        <f t="shared" si="1"/>
        <v>0</v>
      </c>
      <c r="L10" s="83"/>
    </row>
    <row r="11" spans="1:12" ht="30" x14ac:dyDescent="0.25">
      <c r="A11" s="84" t="s">
        <v>26</v>
      </c>
      <c r="B11" s="85" t="s">
        <v>68</v>
      </c>
      <c r="C11" s="83">
        <v>0.15</v>
      </c>
      <c r="D11" s="86" t="e">
        <f t="shared" si="2"/>
        <v>#REF!</v>
      </c>
      <c r="E11" s="87" t="e">
        <f t="shared" si="0"/>
        <v>#REF!</v>
      </c>
      <c r="G11" s="84" t="s">
        <v>26</v>
      </c>
      <c r="H11" s="85" t="s">
        <v>68</v>
      </c>
      <c r="I11" s="83">
        <v>9.9373944151843405E-2</v>
      </c>
      <c r="J11" s="86">
        <f t="shared" si="3"/>
        <v>7949.9155321474727</v>
      </c>
      <c r="K11" s="87">
        <f t="shared" si="1"/>
        <v>9539.8986385769676</v>
      </c>
      <c r="L11" s="83"/>
    </row>
    <row r="12" spans="1:12" ht="30" x14ac:dyDescent="0.25">
      <c r="A12" s="84" t="s">
        <v>27</v>
      </c>
      <c r="B12" s="85" t="s">
        <v>150</v>
      </c>
      <c r="C12" s="83">
        <v>4.1017600000000001E-2</v>
      </c>
      <c r="D12" s="86" t="e">
        <f t="shared" si="2"/>
        <v>#REF!</v>
      </c>
      <c r="E12" s="87" t="e">
        <f t="shared" si="0"/>
        <v>#REF!</v>
      </c>
      <c r="G12" s="84" t="s">
        <v>27</v>
      </c>
      <c r="H12" s="85" t="s">
        <v>150</v>
      </c>
      <c r="I12" s="83">
        <v>6.9561760906290404E-2</v>
      </c>
      <c r="J12" s="86">
        <f t="shared" si="3"/>
        <v>5564.9408725032326</v>
      </c>
      <c r="K12" s="87">
        <f t="shared" si="1"/>
        <v>6677.9290470038786</v>
      </c>
      <c r="L12" s="83"/>
    </row>
    <row r="13" spans="1:12" x14ac:dyDescent="0.25">
      <c r="A13" s="84" t="s">
        <v>28</v>
      </c>
      <c r="B13" s="85" t="s">
        <v>69</v>
      </c>
      <c r="C13" s="83">
        <v>7.99729E-2</v>
      </c>
      <c r="D13" s="86" t="e">
        <f t="shared" si="2"/>
        <v>#REF!</v>
      </c>
      <c r="E13" s="87" t="e">
        <f t="shared" si="0"/>
        <v>#REF!</v>
      </c>
      <c r="G13" s="84" t="s">
        <v>28</v>
      </c>
      <c r="H13" s="85" t="s">
        <v>69</v>
      </c>
      <c r="I13" s="83">
        <v>0.12581288342159999</v>
      </c>
      <c r="J13" s="86">
        <f t="shared" si="3"/>
        <v>10065.030673727999</v>
      </c>
      <c r="K13" s="87">
        <f t="shared" si="1"/>
        <v>12078.036808473598</v>
      </c>
      <c r="L13" s="83"/>
    </row>
    <row r="14" spans="1:12" ht="45" x14ac:dyDescent="0.25">
      <c r="A14" s="84" t="s">
        <v>29</v>
      </c>
      <c r="B14" s="85" t="s">
        <v>151</v>
      </c>
      <c r="C14" s="83">
        <v>5.5577999999999999E-3</v>
      </c>
      <c r="D14" s="86" t="e">
        <f t="shared" si="2"/>
        <v>#REF!</v>
      </c>
      <c r="E14" s="87" t="e">
        <f t="shared" si="0"/>
        <v>#REF!</v>
      </c>
      <c r="G14" s="84" t="s">
        <v>29</v>
      </c>
      <c r="H14" s="85" t="s">
        <v>151</v>
      </c>
      <c r="I14" s="83">
        <v>0</v>
      </c>
      <c r="J14" s="86">
        <f t="shared" si="3"/>
        <v>0</v>
      </c>
      <c r="K14" s="87">
        <f t="shared" si="1"/>
        <v>0</v>
      </c>
      <c r="L14" s="83"/>
    </row>
    <row r="15" spans="1:12" ht="30" x14ac:dyDescent="0.25">
      <c r="A15" s="84" t="s">
        <v>30</v>
      </c>
      <c r="B15" s="85" t="s">
        <v>70</v>
      </c>
      <c r="C15" s="83">
        <v>4.2734482758620698E-2</v>
      </c>
      <c r="D15" s="86" t="e">
        <f t="shared" si="2"/>
        <v>#REF!</v>
      </c>
      <c r="E15" s="87" t="e">
        <f t="shared" si="0"/>
        <v>#REF!</v>
      </c>
      <c r="G15" s="84" t="s">
        <v>30</v>
      </c>
      <c r="H15" s="85" t="s">
        <v>70</v>
      </c>
      <c r="I15" s="83">
        <v>4.9686972075921702E-2</v>
      </c>
      <c r="J15" s="86">
        <f t="shared" si="3"/>
        <v>3974.9577660737364</v>
      </c>
      <c r="K15" s="87">
        <f t="shared" si="1"/>
        <v>4769.9493192884838</v>
      </c>
      <c r="L15" s="83"/>
    </row>
    <row r="16" spans="1:12" x14ac:dyDescent="0.25">
      <c r="A16" s="84" t="s">
        <v>31</v>
      </c>
      <c r="B16" s="85" t="s">
        <v>71</v>
      </c>
      <c r="C16" s="83">
        <v>0.1</v>
      </c>
      <c r="D16" s="86" t="e">
        <f t="shared" si="2"/>
        <v>#REF!</v>
      </c>
      <c r="E16" s="87" t="e">
        <f t="shared" si="0"/>
        <v>#REF!</v>
      </c>
      <c r="G16" s="84" t="s">
        <v>31</v>
      </c>
      <c r="H16" s="85" t="s">
        <v>71</v>
      </c>
      <c r="I16" s="83">
        <v>0.12581288342159999</v>
      </c>
      <c r="J16" s="86">
        <f t="shared" si="3"/>
        <v>10065.030673727999</v>
      </c>
      <c r="K16" s="87">
        <f t="shared" si="1"/>
        <v>12078.036808473598</v>
      </c>
      <c r="L16" s="83"/>
    </row>
    <row r="17" spans="1:12" ht="30" x14ac:dyDescent="0.25">
      <c r="A17" s="84" t="s">
        <v>32</v>
      </c>
      <c r="B17" s="85" t="s">
        <v>152</v>
      </c>
      <c r="C17" s="83">
        <v>5.5E-2</v>
      </c>
      <c r="D17" s="86" t="e">
        <f t="shared" si="2"/>
        <v>#REF!</v>
      </c>
      <c r="E17" s="87" t="e">
        <f t="shared" si="0"/>
        <v>#REF!</v>
      </c>
      <c r="G17" s="84" t="s">
        <v>32</v>
      </c>
      <c r="H17" s="85" t="s">
        <v>152</v>
      </c>
      <c r="I17" s="83">
        <v>9.9373944151843405E-3</v>
      </c>
      <c r="J17" s="86">
        <f t="shared" si="3"/>
        <v>794.99155321474723</v>
      </c>
      <c r="K17" s="87">
        <f t="shared" si="1"/>
        <v>953.98986385769661</v>
      </c>
      <c r="L17" s="83"/>
    </row>
    <row r="18" spans="1:12" ht="30" x14ac:dyDescent="0.25">
      <c r="A18" s="84" t="s">
        <v>33</v>
      </c>
      <c r="B18" s="85" t="s">
        <v>153</v>
      </c>
      <c r="C18" s="83">
        <v>5.2699999999999997E-2</v>
      </c>
      <c r="D18" s="86" t="e">
        <f t="shared" si="2"/>
        <v>#REF!</v>
      </c>
      <c r="E18" s="87" t="e">
        <f t="shared" si="0"/>
        <v>#REF!</v>
      </c>
      <c r="G18" s="84" t="s">
        <v>33</v>
      </c>
      <c r="H18" s="85" t="s">
        <v>153</v>
      </c>
      <c r="I18" s="83">
        <v>9.9373944151843405E-3</v>
      </c>
      <c r="J18" s="86">
        <f t="shared" si="3"/>
        <v>794.99155321474723</v>
      </c>
      <c r="K18" s="87">
        <f t="shared" si="1"/>
        <v>953.98986385769661</v>
      </c>
      <c r="L18" s="83"/>
    </row>
    <row r="19" spans="1:12" x14ac:dyDescent="0.25">
      <c r="A19" s="84" t="s">
        <v>35</v>
      </c>
      <c r="B19" s="85" t="s">
        <v>154</v>
      </c>
      <c r="C19" s="88" t="s">
        <v>155</v>
      </c>
      <c r="D19" s="86" t="s">
        <v>156</v>
      </c>
      <c r="E19" s="87" t="s">
        <v>156</v>
      </c>
      <c r="G19" s="84" t="s">
        <v>35</v>
      </c>
      <c r="H19" s="85" t="s">
        <v>154</v>
      </c>
      <c r="I19" s="88">
        <v>0</v>
      </c>
      <c r="J19" s="86">
        <f t="shared" si="3"/>
        <v>0</v>
      </c>
      <c r="K19" s="87" t="s">
        <v>156</v>
      </c>
      <c r="L19" s="83"/>
    </row>
    <row r="20" spans="1:12" x14ac:dyDescent="0.25">
      <c r="A20" s="89" t="s">
        <v>36</v>
      </c>
      <c r="B20" s="90" t="s">
        <v>36</v>
      </c>
      <c r="C20" s="91">
        <v>0.1</v>
      </c>
      <c r="D20" s="92" t="e">
        <f>C20*$D$2</f>
        <v>#REF!</v>
      </c>
      <c r="E20" s="93" t="e">
        <f>D20*1.2</f>
        <v>#REF!</v>
      </c>
      <c r="G20" s="94" t="s">
        <v>157</v>
      </c>
      <c r="H20" s="95"/>
      <c r="I20" s="96">
        <f>SUM(I3:I19)</f>
        <v>1</v>
      </c>
      <c r="J20" s="97">
        <f>SUM(J3:J19)</f>
        <v>79999.999999999985</v>
      </c>
      <c r="K20" s="98">
        <f>SUM(K3:K19)</f>
        <v>96000</v>
      </c>
      <c r="L20" s="83"/>
    </row>
    <row r="21" spans="1:12" x14ac:dyDescent="0.25">
      <c r="A21" s="94" t="s">
        <v>157</v>
      </c>
      <c r="B21" s="95"/>
      <c r="C21" s="96">
        <f>SUM(C3:C19)</f>
        <v>0.90000000000000036</v>
      </c>
      <c r="D21" s="97" t="e">
        <f>SUM(D3:D20)</f>
        <v>#REF!</v>
      </c>
      <c r="E21" s="98" t="e">
        <f>SUM(E3:E20)</f>
        <v>#REF!</v>
      </c>
      <c r="G21" s="78" t="s">
        <v>36</v>
      </c>
      <c r="H21" s="99" t="s">
        <v>36</v>
      </c>
      <c r="I21" s="80">
        <v>0.1</v>
      </c>
      <c r="J21" s="81">
        <f>I21*(J27-J25)</f>
        <v>10000</v>
      </c>
      <c r="K21" s="82">
        <f>J21*1.2</f>
        <v>12000</v>
      </c>
      <c r="L21" s="83"/>
    </row>
    <row r="22" spans="1:12" x14ac:dyDescent="0.25">
      <c r="A22" s="78"/>
      <c r="B22" s="99"/>
      <c r="C22" s="80"/>
      <c r="D22" s="81"/>
      <c r="E22" s="82"/>
      <c r="G22" s="89" t="s">
        <v>39</v>
      </c>
      <c r="H22" s="100" t="s">
        <v>39</v>
      </c>
      <c r="I22" s="91">
        <v>0.1</v>
      </c>
      <c r="J22" s="92">
        <f>I22*(J27-J25)</f>
        <v>10000</v>
      </c>
      <c r="K22" s="93">
        <f>J22*1.2</f>
        <v>12000</v>
      </c>
      <c r="L22" s="83"/>
    </row>
    <row r="23" spans="1:12" x14ac:dyDescent="0.25">
      <c r="A23" s="89" t="s">
        <v>39</v>
      </c>
      <c r="B23" s="100" t="s">
        <v>39</v>
      </c>
      <c r="C23" s="91">
        <v>0.1</v>
      </c>
      <c r="D23" s="92">
        <f>C23*(D28-D26)</f>
        <v>10000</v>
      </c>
      <c r="E23" s="93">
        <f>D23*1.2</f>
        <v>12000</v>
      </c>
      <c r="G23" s="94" t="s">
        <v>158</v>
      </c>
      <c r="H23" s="95"/>
      <c r="I23" s="96">
        <f>SUM(I22:I22)</f>
        <v>0.1</v>
      </c>
      <c r="J23" s="101">
        <f>SUM(J21:J22)</f>
        <v>20000</v>
      </c>
      <c r="K23" s="102">
        <f>SUM(K22:K22)</f>
        <v>12000</v>
      </c>
    </row>
    <row r="24" spans="1:12" x14ac:dyDescent="0.25">
      <c r="A24" s="94" t="s">
        <v>158</v>
      </c>
      <c r="B24" s="95"/>
      <c r="C24" s="96">
        <f>SUM(C23:C23)</f>
        <v>0.1</v>
      </c>
      <c r="D24" s="101">
        <f>SUM(D23:D23)</f>
        <v>10000</v>
      </c>
      <c r="E24" s="102">
        <f>SUM(E23:E23)</f>
        <v>12000</v>
      </c>
      <c r="J24" s="103"/>
      <c r="K24" s="103"/>
    </row>
    <row r="25" spans="1:12" x14ac:dyDescent="0.25">
      <c r="D25" s="103"/>
      <c r="E25" s="103"/>
      <c r="G25" s="94" t="s">
        <v>5</v>
      </c>
      <c r="H25" s="95"/>
      <c r="I25" s="104">
        <f>J25/J27</f>
        <v>0.75</v>
      </c>
      <c r="J25" s="97">
        <v>300000</v>
      </c>
      <c r="K25" s="98">
        <f>J25*1.2</f>
        <v>360000</v>
      </c>
    </row>
    <row r="26" spans="1:12" x14ac:dyDescent="0.25">
      <c r="A26" s="94" t="s">
        <v>5</v>
      </c>
      <c r="B26" s="95"/>
      <c r="C26" s="104">
        <f>D26/D28</f>
        <v>0.75</v>
      </c>
      <c r="D26" s="97">
        <f>300000</f>
        <v>300000</v>
      </c>
      <c r="E26" s="98">
        <f>D26*1.2</f>
        <v>360000</v>
      </c>
      <c r="J26" s="103"/>
      <c r="K26" s="103"/>
    </row>
    <row r="27" spans="1:12" x14ac:dyDescent="0.25">
      <c r="D27" s="103"/>
      <c r="E27" s="103"/>
      <c r="G27" s="105" t="s">
        <v>159</v>
      </c>
      <c r="H27" s="106"/>
      <c r="I27" s="107" t="str">
        <f>I2</f>
        <v>Etudes Monographies vins</v>
      </c>
      <c r="J27" s="108">
        <v>400000</v>
      </c>
      <c r="K27" s="109">
        <f>J27*1.2</f>
        <v>480000</v>
      </c>
    </row>
    <row r="28" spans="1:12" x14ac:dyDescent="0.25">
      <c r="A28" s="105" t="s">
        <v>159</v>
      </c>
      <c r="B28" s="106"/>
      <c r="C28" s="107" t="str">
        <f>C2</f>
        <v>Etudes Monographies vins</v>
      </c>
      <c r="D28" s="108">
        <f>400000</f>
        <v>400000</v>
      </c>
      <c r="E28" s="109">
        <f>D28*1.2</f>
        <v>480000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40"/>
  <sheetViews>
    <sheetView topLeftCell="A19" workbookViewId="0">
      <selection activeCell="C5" sqref="C5"/>
    </sheetView>
  </sheetViews>
  <sheetFormatPr baseColWidth="10" defaultColWidth="9.140625" defaultRowHeight="15" x14ac:dyDescent="0.25"/>
  <cols>
    <col min="1" max="1" width="9.140625" style="1"/>
    <col min="2" max="2" width="9.140625" style="4"/>
    <col min="3" max="3" width="9.140625" style="7"/>
    <col min="4" max="4" width="9.140625" style="4"/>
    <col min="5" max="5" width="9.140625" style="9"/>
    <col min="6" max="7" width="9.140625" style="5"/>
    <col min="8" max="8" width="9.140625" style="9"/>
    <col min="9" max="9" width="9.140625" style="5"/>
    <col min="10" max="10" width="9.140625" style="9"/>
    <col min="11" max="12" width="9.140625" style="5"/>
    <col min="13" max="13" width="9.140625" style="4"/>
    <col min="14" max="15" width="9.140625" style="5"/>
    <col min="16" max="16" width="9.140625" style="4"/>
    <col min="17" max="18" width="9.140625" style="5"/>
    <col min="19" max="19" width="9.140625" style="4"/>
    <col min="20" max="21" width="9.140625" style="5"/>
    <col min="22" max="22" width="9.140625" style="9"/>
    <col min="23" max="23" width="9.140625" style="1"/>
    <col min="24" max="24" width="9.140625" style="3"/>
    <col min="25" max="25" width="9.140625" style="7"/>
    <col min="26" max="1024" width="9.140625" style="1"/>
  </cols>
  <sheetData>
    <row r="1" spans="1:1024" s="10" customFormat="1" ht="15" customHeight="1" x14ac:dyDescent="0.25">
      <c r="A1" s="712" t="s">
        <v>160</v>
      </c>
      <c r="B1" s="712"/>
      <c r="C1" s="712"/>
      <c r="D1" s="110" t="s">
        <v>0</v>
      </c>
      <c r="E1" s="14"/>
      <c r="F1" s="13"/>
      <c r="G1" s="13"/>
      <c r="H1" s="14"/>
      <c r="I1" s="13"/>
      <c r="J1" s="14"/>
      <c r="K1" s="13"/>
      <c r="L1" s="13"/>
      <c r="M1" s="12"/>
      <c r="N1" s="13"/>
      <c r="O1" s="13"/>
      <c r="P1" s="12"/>
      <c r="Q1" s="13"/>
      <c r="R1" s="13"/>
      <c r="S1" s="12"/>
      <c r="T1" s="13"/>
      <c r="U1" s="13"/>
      <c r="V1" s="14"/>
      <c r="X1" s="11"/>
      <c r="Y1" s="15"/>
    </row>
    <row r="2" spans="1:1024" ht="15.75" customHeight="1" x14ac:dyDescent="0.25">
      <c r="A2" s="16"/>
      <c r="B2" s="713" t="s">
        <v>161</v>
      </c>
      <c r="C2" s="713"/>
      <c r="D2" s="713"/>
      <c r="E2" s="713"/>
      <c r="F2" s="713"/>
      <c r="G2" s="13"/>
      <c r="H2" s="14"/>
      <c r="I2" s="13"/>
      <c r="J2" s="14"/>
      <c r="K2" s="13"/>
      <c r="L2" s="13"/>
      <c r="M2" s="12"/>
      <c r="N2" s="13"/>
      <c r="O2" s="13"/>
      <c r="P2" s="12"/>
      <c r="Q2" s="13"/>
      <c r="R2" s="13"/>
      <c r="S2" s="12"/>
      <c r="T2" s="13"/>
      <c r="U2" s="13"/>
      <c r="V2" s="14"/>
      <c r="W2"/>
      <c r="X2" s="11"/>
      <c r="Y2" s="15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5">
      <c r="A3" s="111"/>
      <c r="B3" s="111"/>
      <c r="C3" s="111"/>
      <c r="D3" s="110"/>
      <c r="E3" s="14"/>
      <c r="F3" s="13"/>
      <c r="G3" s="13"/>
      <c r="H3" s="14"/>
      <c r="I3" s="13"/>
      <c r="J3" s="14"/>
      <c r="K3" s="13"/>
      <c r="L3" s="13"/>
      <c r="M3" s="12"/>
      <c r="N3" s="13"/>
      <c r="O3" s="13"/>
      <c r="P3" s="12"/>
      <c r="Q3" s="13"/>
      <c r="R3" s="13"/>
      <c r="S3" s="12"/>
      <c r="T3" s="13"/>
      <c r="U3" s="13"/>
      <c r="V3" s="14"/>
      <c r="W3"/>
      <c r="X3" s="11"/>
      <c r="Y3" s="15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30" x14ac:dyDescent="0.25">
      <c r="A4" s="73" t="s">
        <v>162</v>
      </c>
      <c r="B4" s="112" t="s">
        <v>64</v>
      </c>
      <c r="C4" s="113" t="s">
        <v>163</v>
      </c>
      <c r="D4"/>
      <c r="E4" s="73" t="s">
        <v>162</v>
      </c>
      <c r="F4" s="112" t="s">
        <v>64</v>
      </c>
      <c r="G4" s="113" t="s">
        <v>164</v>
      </c>
      <c r="H4" s="14"/>
      <c r="I4" s="13"/>
      <c r="J4" s="14"/>
      <c r="K4" s="13"/>
      <c r="L4" s="13"/>
      <c r="M4" s="12"/>
      <c r="N4" s="13"/>
      <c r="O4" s="13"/>
      <c r="P4" s="12"/>
      <c r="Q4" s="13"/>
      <c r="R4" s="13"/>
      <c r="S4" s="12"/>
      <c r="T4" s="13"/>
      <c r="U4" s="13"/>
      <c r="V4" s="14"/>
      <c r="W4"/>
      <c r="X4" s="11"/>
      <c r="Y4" s="15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75" x14ac:dyDescent="0.25">
      <c r="A5" s="114" t="s">
        <v>165</v>
      </c>
      <c r="B5" s="115" t="e">
        <f>C19+C26+C35</f>
        <v>#REF!</v>
      </c>
      <c r="C5" s="116" t="e">
        <f>B5*1.2</f>
        <v>#REF!</v>
      </c>
      <c r="D5"/>
      <c r="E5" s="114" t="s">
        <v>165</v>
      </c>
      <c r="F5" s="115">
        <f>G19+G26+G35</f>
        <v>837923.05</v>
      </c>
      <c r="G5" s="116">
        <f>F5*1.2</f>
        <v>1005507.66</v>
      </c>
      <c r="H5" s="14"/>
      <c r="I5" s="13"/>
      <c r="J5" s="14"/>
      <c r="K5" s="13"/>
      <c r="L5" s="13"/>
      <c r="M5" s="12"/>
      <c r="N5" s="13"/>
      <c r="O5" s="13"/>
      <c r="P5" s="12"/>
      <c r="Q5" s="13"/>
      <c r="R5" s="13"/>
      <c r="S5" s="12"/>
      <c r="T5" s="13"/>
      <c r="U5" s="13"/>
      <c r="V5" s="14"/>
      <c r="W5"/>
      <c r="X5" s="11"/>
      <c r="Y5" s="1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5">
      <c r="A6" s="111"/>
      <c r="B6" s="111"/>
      <c r="C6" s="111"/>
      <c r="D6" s="110"/>
      <c r="E6" s="14"/>
      <c r="F6" s="13"/>
      <c r="G6" s="13"/>
      <c r="H6" s="14"/>
      <c r="I6" s="13"/>
      <c r="J6" s="14"/>
      <c r="K6" s="13"/>
      <c r="L6" s="13"/>
      <c r="M6" s="12"/>
      <c r="N6" s="13"/>
      <c r="O6" s="13"/>
      <c r="P6" s="12"/>
      <c r="Q6" s="13"/>
      <c r="R6" s="13"/>
      <c r="S6" s="12"/>
      <c r="T6" s="13"/>
      <c r="U6" s="13"/>
      <c r="V6" s="14"/>
      <c r="W6"/>
      <c r="X6" s="11"/>
      <c r="Y6" s="15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 customHeight="1" x14ac:dyDescent="0.25">
      <c r="A7" s="117"/>
      <c r="B7" s="714" t="s">
        <v>166</v>
      </c>
      <c r="C7" s="714"/>
      <c r="D7" s="714"/>
      <c r="E7" s="117"/>
      <c r="F7" s="714" t="s">
        <v>167</v>
      </c>
      <c r="G7" s="714"/>
      <c r="H7" s="71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0" x14ac:dyDescent="0.25">
      <c r="A8" s="10" t="s">
        <v>168</v>
      </c>
      <c r="B8" s="118" t="s">
        <v>79</v>
      </c>
      <c r="C8" s="54" t="s">
        <v>12</v>
      </c>
      <c r="D8" s="118" t="s">
        <v>5</v>
      </c>
      <c r="E8" s="10" t="s">
        <v>168</v>
      </c>
      <c r="F8" s="118" t="s">
        <v>79</v>
      </c>
      <c r="G8" s="54" t="s">
        <v>12</v>
      </c>
      <c r="H8" s="118" t="s">
        <v>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60" x14ac:dyDescent="0.25">
      <c r="A9" s="19" t="s">
        <v>169</v>
      </c>
      <c r="B9" s="54" t="e">
        <f>#REF!</f>
        <v>#REF!</v>
      </c>
      <c r="C9" s="54" t="e">
        <f>#REF!</f>
        <v>#REF!</v>
      </c>
      <c r="D9" s="54" t="e">
        <f>#REF!</f>
        <v>#REF!</v>
      </c>
      <c r="E9" s="19" t="s">
        <v>169</v>
      </c>
      <c r="F9" s="54">
        <v>478994</v>
      </c>
      <c r="G9" s="54">
        <v>346790</v>
      </c>
      <c r="H9" s="54">
        <v>132204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45" x14ac:dyDescent="0.25">
      <c r="A10" s="19" t="s">
        <v>170</v>
      </c>
      <c r="B10" s="54" t="e">
        <f>#REF!</f>
        <v>#REF!</v>
      </c>
      <c r="C10" s="54" t="e">
        <f>#REF!</f>
        <v>#REF!</v>
      </c>
      <c r="D10" s="54" t="e">
        <f>#REF!</f>
        <v>#REF!</v>
      </c>
      <c r="E10" s="19" t="s">
        <v>170</v>
      </c>
      <c r="F10" s="54">
        <v>0</v>
      </c>
      <c r="G10" s="54">
        <v>0</v>
      </c>
      <c r="H10" s="54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05" x14ac:dyDescent="0.25">
      <c r="A11" s="19" t="s">
        <v>7</v>
      </c>
      <c r="B11" s="54" t="e">
        <f>#REF!</f>
        <v>#REF!</v>
      </c>
      <c r="C11" s="54" t="e">
        <f>#REF!</f>
        <v>#REF!</v>
      </c>
      <c r="D11" s="54" t="e">
        <f>#REF!</f>
        <v>#REF!</v>
      </c>
      <c r="E11" s="19" t="s">
        <v>7</v>
      </c>
      <c r="F11" s="54">
        <v>114111</v>
      </c>
      <c r="G11" s="54">
        <v>57055</v>
      </c>
      <c r="H11" s="54">
        <v>45644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0" x14ac:dyDescent="0.25">
      <c r="A12" s="19" t="s">
        <v>8</v>
      </c>
      <c r="B12" s="54" t="e">
        <f>#REF!</f>
        <v>#REF!</v>
      </c>
      <c r="C12" s="54" t="e">
        <f>#REF!</f>
        <v>#REF!</v>
      </c>
      <c r="D12" s="54" t="e">
        <f>#REF!</f>
        <v>#REF!</v>
      </c>
      <c r="E12" s="19" t="s">
        <v>8</v>
      </c>
      <c r="F12" s="54">
        <v>125910</v>
      </c>
      <c r="G12" s="54">
        <v>62955</v>
      </c>
      <c r="H12" s="54">
        <v>50364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60" x14ac:dyDescent="0.25">
      <c r="A13" s="19" t="s">
        <v>171</v>
      </c>
      <c r="B13" s="54" t="e">
        <f>#REF!</f>
        <v>#REF!</v>
      </c>
      <c r="C13" s="54" t="e">
        <f>#REF!</f>
        <v>#REF!</v>
      </c>
      <c r="D13" s="54" t="e">
        <f>#REF!</f>
        <v>#REF!</v>
      </c>
      <c r="E13" s="19" t="s">
        <v>171</v>
      </c>
      <c r="F13" s="54">
        <v>88782</v>
      </c>
      <c r="G13" s="54">
        <v>44391</v>
      </c>
      <c r="H13" s="54">
        <v>35513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75" x14ac:dyDescent="0.25">
      <c r="A14" s="19" t="s">
        <v>172</v>
      </c>
      <c r="B14" s="54" t="e">
        <f>#REF!</f>
        <v>#REF!</v>
      </c>
      <c r="C14" s="54" t="e">
        <f>#REF!</f>
        <v>#REF!</v>
      </c>
      <c r="D14" s="54" t="e">
        <f>#REF!</f>
        <v>#REF!</v>
      </c>
      <c r="E14" s="19" t="s">
        <v>172</v>
      </c>
      <c r="F14" s="54">
        <v>213623</v>
      </c>
      <c r="G14" s="54">
        <v>116000</v>
      </c>
      <c r="H14" s="54">
        <v>97623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75" x14ac:dyDescent="0.25">
      <c r="A15" s="19" t="s">
        <v>173</v>
      </c>
      <c r="B15" s="54" t="e">
        <f>#REF!</f>
        <v>#REF!</v>
      </c>
      <c r="C15" s="54" t="e">
        <f>#REF!</f>
        <v>#REF!</v>
      </c>
      <c r="D15" s="54" t="e">
        <f>#REF!</f>
        <v>#REF!</v>
      </c>
      <c r="E15" s="19" t="s">
        <v>173</v>
      </c>
      <c r="F15" s="54">
        <v>53158</v>
      </c>
      <c r="G15" s="54">
        <v>31895</v>
      </c>
      <c r="H15" s="54">
        <v>21263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0" x14ac:dyDescent="0.25">
      <c r="A16" s="19" t="s">
        <v>174</v>
      </c>
      <c r="B16" s="54" t="e">
        <f>#REF!</f>
        <v>#REF!</v>
      </c>
      <c r="C16" s="54" t="e">
        <f>#REF!</f>
        <v>#REF!</v>
      </c>
      <c r="D16" s="54" t="e">
        <f>#REF!</f>
        <v>#REF!</v>
      </c>
      <c r="E16" s="19" t="s">
        <v>174</v>
      </c>
      <c r="F16" s="54">
        <v>42799</v>
      </c>
      <c r="G16" s="54">
        <v>25679</v>
      </c>
      <c r="H16" s="54">
        <v>17120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0" x14ac:dyDescent="0.25">
      <c r="A17" s="119" t="s">
        <v>10</v>
      </c>
      <c r="B17" s="120">
        <v>50000</v>
      </c>
      <c r="C17" s="120">
        <v>30000</v>
      </c>
      <c r="D17" s="120">
        <v>20000</v>
      </c>
      <c r="E17" s="19"/>
      <c r="F17" s="19"/>
      <c r="G17" s="19"/>
      <c r="H17" s="19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30.75" customHeight="1" x14ac:dyDescent="0.25">
      <c r="A18" s="121"/>
      <c r="B18" s="122"/>
      <c r="C18" s="123"/>
      <c r="D18" s="122"/>
      <c r="E18" s="124" t="s">
        <v>175</v>
      </c>
      <c r="F18" s="125">
        <v>141608</v>
      </c>
      <c r="G18" s="125">
        <v>35402</v>
      </c>
      <c r="H18" s="125">
        <v>106206</v>
      </c>
      <c r="I18" s="715" t="s">
        <v>176</v>
      </c>
      <c r="J18" s="715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10" customFormat="1" ht="45" x14ac:dyDescent="0.25">
      <c r="A19" s="17" t="s">
        <v>11</v>
      </c>
      <c r="B19" s="126" t="e">
        <f>SUM(B9:B18)</f>
        <v>#REF!</v>
      </c>
      <c r="C19" s="126" t="e">
        <f>SUM(C9:C18)</f>
        <v>#REF!</v>
      </c>
      <c r="D19" s="126" t="e">
        <f>SUM(D9:D18)</f>
        <v>#REF!</v>
      </c>
      <c r="E19" s="127" t="s">
        <v>11</v>
      </c>
      <c r="F19" s="128">
        <f>SUM(F9:F18)</f>
        <v>1258985</v>
      </c>
      <c r="G19" s="128">
        <f>SUM(G9:G18)</f>
        <v>720167</v>
      </c>
      <c r="H19" s="128">
        <f>SUM(H9:H18)</f>
        <v>505937</v>
      </c>
      <c r="I19" s="13"/>
      <c r="J19" s="14"/>
      <c r="K19" s="13"/>
      <c r="L19" s="13"/>
      <c r="M19" s="12"/>
      <c r="N19" s="13"/>
      <c r="O19" s="13"/>
      <c r="P19" s="12"/>
      <c r="Q19" s="13"/>
      <c r="R19" s="13"/>
      <c r="S19" s="12"/>
      <c r="T19" s="13"/>
      <c r="U19" s="13"/>
      <c r="V19" s="14"/>
      <c r="X19" s="11"/>
      <c r="Y19" s="15"/>
    </row>
    <row r="20" spans="1:1024" x14ac:dyDescent="0.25">
      <c r="A20" s="21"/>
      <c r="B20" s="59"/>
      <c r="C20" s="59"/>
      <c r="D20" s="59"/>
      <c r="E20" s="21"/>
      <c r="F20"/>
      <c r="G20" s="59"/>
      <c r="H20" s="59"/>
      <c r="I20" s="13"/>
      <c r="J20" s="14"/>
      <c r="K20" s="13"/>
      <c r="L20" s="13"/>
      <c r="M20" s="12"/>
      <c r="N20" s="13"/>
      <c r="O20" s="13"/>
      <c r="P20" s="12"/>
      <c r="Q20" s="13"/>
      <c r="R20" s="13"/>
      <c r="S20" s="12"/>
      <c r="T20" s="13"/>
      <c r="U20" s="13"/>
      <c r="V20" s="14"/>
      <c r="X20" s="11"/>
      <c r="Y20" s="15"/>
    </row>
    <row r="21" spans="1:1024" ht="15" customHeight="1" x14ac:dyDescent="0.25">
      <c r="A21" s="117"/>
      <c r="B21" s="716" t="s">
        <v>166</v>
      </c>
      <c r="C21" s="716"/>
      <c r="D21" s="716"/>
      <c r="E21" s="117"/>
      <c r="F21" s="716" t="s">
        <v>167</v>
      </c>
      <c r="G21" s="716"/>
      <c r="H21" s="716" t="s">
        <v>5</v>
      </c>
    </row>
    <row r="22" spans="1:1024" ht="60" x14ac:dyDescent="0.25">
      <c r="A22" s="52" t="s">
        <v>177</v>
      </c>
      <c r="B22" s="129" t="s">
        <v>79</v>
      </c>
      <c r="C22" s="54" t="s">
        <v>12</v>
      </c>
      <c r="D22" s="54" t="s">
        <v>5</v>
      </c>
      <c r="E22" s="52" t="s">
        <v>177</v>
      </c>
      <c r="F22" s="129" t="s">
        <v>79</v>
      </c>
      <c r="G22" s="54" t="s">
        <v>12</v>
      </c>
      <c r="H22" s="54" t="s">
        <v>5</v>
      </c>
    </row>
    <row r="23" spans="1:1024" ht="60" x14ac:dyDescent="0.25">
      <c r="A23" s="19" t="s">
        <v>178</v>
      </c>
      <c r="B23" s="54" t="e">
        <f>#REF!</f>
        <v>#REF!</v>
      </c>
      <c r="C23" s="54" t="e">
        <f>#REF!</f>
        <v>#REF!</v>
      </c>
      <c r="D23" s="69" t="s">
        <v>179</v>
      </c>
      <c r="E23" s="19" t="s">
        <v>178</v>
      </c>
      <c r="F23" s="54">
        <v>60000</v>
      </c>
      <c r="G23" s="54">
        <v>60000</v>
      </c>
      <c r="H23" s="69" t="s">
        <v>180</v>
      </c>
    </row>
    <row r="24" spans="1:1024" ht="60" x14ac:dyDescent="0.25">
      <c r="A24" s="19" t="s">
        <v>181</v>
      </c>
      <c r="B24" s="54" t="e">
        <f>#REF!</f>
        <v>#REF!</v>
      </c>
      <c r="C24" s="54" t="e">
        <f>#REF!</f>
        <v>#REF!</v>
      </c>
      <c r="D24" s="54">
        <v>0</v>
      </c>
      <c r="E24" s="19" t="s">
        <v>181</v>
      </c>
      <c r="F24" s="54">
        <v>30000</v>
      </c>
      <c r="G24" s="54">
        <v>30000</v>
      </c>
      <c r="H24" s="54">
        <v>0</v>
      </c>
    </row>
    <row r="25" spans="1:1024" x14ac:dyDescent="0.25">
      <c r="A25" s="130" t="s">
        <v>13</v>
      </c>
      <c r="B25" s="131" t="e">
        <f>#REF!</f>
        <v>#REF!</v>
      </c>
      <c r="C25" s="131" t="e">
        <f>#REF!</f>
        <v>#REF!</v>
      </c>
      <c r="D25" s="131">
        <v>0</v>
      </c>
      <c r="E25" s="130" t="s">
        <v>13</v>
      </c>
      <c r="F25" s="131">
        <v>14000</v>
      </c>
      <c r="G25" s="131">
        <v>14000</v>
      </c>
      <c r="H25" s="131">
        <v>0</v>
      </c>
    </row>
    <row r="26" spans="1:1024" ht="75" x14ac:dyDescent="0.25">
      <c r="A26" s="17" t="s">
        <v>182</v>
      </c>
      <c r="B26" s="126" t="e">
        <f>SUM(B23:B25)</f>
        <v>#REF!</v>
      </c>
      <c r="C26" s="126" t="e">
        <f>SUM(C23:C25)</f>
        <v>#REF!</v>
      </c>
      <c r="D26" s="126">
        <f>SUM(D23:D25)</f>
        <v>0</v>
      </c>
      <c r="E26" s="17" t="s">
        <v>182</v>
      </c>
      <c r="F26" s="126">
        <f>SUM(F23:F25)</f>
        <v>104000</v>
      </c>
      <c r="G26" s="126">
        <f>SUM(G23:G25)</f>
        <v>104000</v>
      </c>
      <c r="H26" s="126">
        <f>SUM(H23:H25)</f>
        <v>0</v>
      </c>
    </row>
    <row r="27" spans="1:1024" x14ac:dyDescent="0.25">
      <c r="A27"/>
      <c r="B27"/>
      <c r="C27" s="5"/>
      <c r="D27"/>
      <c r="E27" s="1"/>
      <c r="F27" s="4"/>
      <c r="G27"/>
      <c r="H27" s="4"/>
    </row>
    <row r="28" spans="1:1024" ht="15" customHeight="1" x14ac:dyDescent="0.25">
      <c r="A28" s="117"/>
      <c r="B28" s="714" t="s">
        <v>183</v>
      </c>
      <c r="C28" s="714"/>
      <c r="D28" s="714"/>
      <c r="E28" s="117"/>
      <c r="F28" s="714" t="s">
        <v>184</v>
      </c>
      <c r="G28" s="714"/>
      <c r="H28" s="714"/>
    </row>
    <row r="29" spans="1:1024" ht="30" x14ac:dyDescent="0.25">
      <c r="A29" s="52" t="s">
        <v>14</v>
      </c>
      <c r="B29" s="118" t="s">
        <v>185</v>
      </c>
      <c r="C29" s="54" t="s">
        <v>186</v>
      </c>
      <c r="D29" s="118" t="s">
        <v>187</v>
      </c>
      <c r="E29" s="26" t="s">
        <v>14</v>
      </c>
      <c r="F29" s="118"/>
      <c r="G29" s="54" t="s">
        <v>186</v>
      </c>
      <c r="H29" s="118" t="s">
        <v>187</v>
      </c>
    </row>
    <row r="30" spans="1:1024" ht="60" x14ac:dyDescent="0.25">
      <c r="A30" s="1" t="s">
        <v>188</v>
      </c>
      <c r="B30" s="132">
        <f>MONOPOLES!D2</f>
        <v>185</v>
      </c>
      <c r="C30" s="54" t="e">
        <f>#REF!</f>
        <v>#REF!</v>
      </c>
      <c r="D30" s="54" t="e">
        <f>C30*1.2</f>
        <v>#REF!</v>
      </c>
      <c r="E30" s="19" t="s">
        <v>188</v>
      </c>
      <c r="F30" s="132">
        <v>185</v>
      </c>
      <c r="G30" s="54">
        <v>136.01</v>
      </c>
      <c r="H30" s="133">
        <f t="shared" ref="H30:H35" si="0">G30*1.2</f>
        <v>163.21199999999999</v>
      </c>
    </row>
    <row r="31" spans="1:1024" ht="45" x14ac:dyDescent="0.25">
      <c r="A31" s="19" t="s">
        <v>189</v>
      </c>
      <c r="B31" s="132">
        <f>MONOPOLES!F2</f>
        <v>10204.030000000001</v>
      </c>
      <c r="C31" s="54" t="e">
        <f>#REF!</f>
        <v>#REF!</v>
      </c>
      <c r="D31" s="54" t="e">
        <f>C31*1.2</f>
        <v>#REF!</v>
      </c>
      <c r="E31" s="134" t="s">
        <v>189</v>
      </c>
      <c r="F31" s="132">
        <v>10204.030000000001</v>
      </c>
      <c r="G31" s="54">
        <v>8498</v>
      </c>
      <c r="H31" s="133">
        <f t="shared" si="0"/>
        <v>10197.6</v>
      </c>
    </row>
    <row r="32" spans="1:1024" ht="30" x14ac:dyDescent="0.25">
      <c r="A32" s="19" t="s">
        <v>190</v>
      </c>
      <c r="B32" s="132">
        <f>MONOPOLES!H2</f>
        <v>1500</v>
      </c>
      <c r="C32" s="54" t="e">
        <f>#REF!</f>
        <v>#REF!</v>
      </c>
      <c r="D32" s="54" t="e">
        <f>C32*1.2</f>
        <v>#REF!</v>
      </c>
      <c r="E32" s="19" t="s">
        <v>190</v>
      </c>
      <c r="F32" s="132">
        <v>1500</v>
      </c>
      <c r="G32" s="54">
        <v>1137.01</v>
      </c>
      <c r="H32" s="133">
        <f t="shared" si="0"/>
        <v>1364.412</v>
      </c>
    </row>
    <row r="33" spans="1:8" ht="45" x14ac:dyDescent="0.25">
      <c r="A33" s="19" t="s">
        <v>191</v>
      </c>
      <c r="B33" s="129">
        <f>MONOPOLES!J2</f>
        <v>4000</v>
      </c>
      <c r="C33" s="54" t="e">
        <f>#REF!</f>
        <v>#REF!</v>
      </c>
      <c r="D33" s="54" t="e">
        <f>C33*1.2</f>
        <v>#REF!</v>
      </c>
      <c r="E33" s="19" t="s">
        <v>191</v>
      </c>
      <c r="F33" s="129">
        <v>4000</v>
      </c>
      <c r="G33" s="54">
        <v>485.03</v>
      </c>
      <c r="H33" s="133">
        <f t="shared" si="0"/>
        <v>582.03599999999994</v>
      </c>
    </row>
    <row r="34" spans="1:8" ht="60" x14ac:dyDescent="0.25">
      <c r="A34" s="130" t="s">
        <v>192</v>
      </c>
      <c r="B34"/>
      <c r="C34" s="131" t="e">
        <f>#REF!</f>
        <v>#REF!</v>
      </c>
      <c r="D34" s="131" t="e">
        <f>C34*1.2</f>
        <v>#REF!</v>
      </c>
      <c r="E34" s="130" t="s">
        <v>192</v>
      </c>
      <c r="F34" s="4"/>
      <c r="G34" s="131">
        <v>3500</v>
      </c>
      <c r="H34" s="135">
        <f t="shared" si="0"/>
        <v>4200</v>
      </c>
    </row>
    <row r="35" spans="1:8" ht="60" x14ac:dyDescent="0.25">
      <c r="A35" s="136" t="s">
        <v>193</v>
      </c>
      <c r="B35" s="137"/>
      <c r="C35" s="126" t="e">
        <f>SUM(C30:C34)</f>
        <v>#REF!</v>
      </c>
      <c r="D35" s="126" t="e">
        <f>SUM(D30:D34)</f>
        <v>#REF!</v>
      </c>
      <c r="E35" s="138" t="s">
        <v>193</v>
      </c>
      <c r="F35" s="139"/>
      <c r="G35" s="126">
        <v>13756.05</v>
      </c>
      <c r="H35" s="140">
        <f t="shared" si="0"/>
        <v>16507.259999999998</v>
      </c>
    </row>
    <row r="36" spans="1:8" ht="15" customHeight="1" x14ac:dyDescent="0.25">
      <c r="A36"/>
      <c r="B36"/>
      <c r="C36"/>
      <c r="D36" s="141" t="s">
        <v>194</v>
      </c>
      <c r="E36" s="1"/>
      <c r="F36" s="4"/>
      <c r="G36" s="7"/>
      <c r="H36" s="141"/>
    </row>
    <row r="37" spans="1:8" ht="15" customHeight="1" x14ac:dyDescent="0.25">
      <c r="A37" s="117"/>
      <c r="B37" s="716" t="s">
        <v>166</v>
      </c>
      <c r="C37" s="716"/>
      <c r="D37" s="716"/>
      <c r="E37" s="117"/>
      <c r="F37" s="716" t="s">
        <v>195</v>
      </c>
      <c r="G37" s="716"/>
      <c r="H37" s="716"/>
    </row>
    <row r="38" spans="1:8" ht="60" x14ac:dyDescent="0.25">
      <c r="A38" s="52" t="s">
        <v>196</v>
      </c>
      <c r="B38" s="129" t="s">
        <v>79</v>
      </c>
      <c r="C38" s="54" t="s">
        <v>12</v>
      </c>
      <c r="D38" s="54" t="s">
        <v>5</v>
      </c>
      <c r="E38" s="52" t="s">
        <v>196</v>
      </c>
      <c r="F38" s="129" t="s">
        <v>79</v>
      </c>
      <c r="G38" s="54" t="s">
        <v>12</v>
      </c>
      <c r="H38" s="54" t="s">
        <v>5</v>
      </c>
    </row>
    <row r="39" spans="1:8" ht="30" x14ac:dyDescent="0.25">
      <c r="A39" s="19" t="s">
        <v>197</v>
      </c>
      <c r="B39" s="54" t="e">
        <f>#REF!</f>
        <v>#REF!</v>
      </c>
      <c r="C39" s="54" t="e">
        <f>#REF!</f>
        <v>#REF!</v>
      </c>
      <c r="D39" s="69" t="e">
        <f>#REF!</f>
        <v>#REF!</v>
      </c>
      <c r="E39" s="19" t="s">
        <v>197</v>
      </c>
      <c r="F39" s="54">
        <v>22000</v>
      </c>
      <c r="G39" s="54">
        <v>22000</v>
      </c>
      <c r="H39" s="69" t="e">
        <f>#REF!</f>
        <v>#REF!</v>
      </c>
    </row>
    <row r="40" spans="1:8" ht="90" x14ac:dyDescent="0.25">
      <c r="A40" s="17" t="s">
        <v>198</v>
      </c>
      <c r="B40" s="126" t="e">
        <f>SUM(B39:B39)</f>
        <v>#REF!</v>
      </c>
      <c r="C40" s="126" t="e">
        <f>SUM(C39:C39)</f>
        <v>#REF!</v>
      </c>
      <c r="D40" s="126" t="e">
        <f>SUM(D39:D39)</f>
        <v>#REF!</v>
      </c>
      <c r="E40" s="17" t="s">
        <v>198</v>
      </c>
      <c r="F40" s="126">
        <f>SUM(F39:F39)</f>
        <v>22000</v>
      </c>
      <c r="G40" s="126">
        <f>SUM(G39:G39)</f>
        <v>22000</v>
      </c>
      <c r="H40" s="126" t="e">
        <f>SUM(H39:H39)</f>
        <v>#REF!</v>
      </c>
    </row>
  </sheetData>
  <mergeCells count="11">
    <mergeCell ref="B21:D21"/>
    <mergeCell ref="F21:H21"/>
    <mergeCell ref="B28:D28"/>
    <mergeCell ref="F28:H28"/>
    <mergeCell ref="B37:D37"/>
    <mergeCell ref="F37:H37"/>
    <mergeCell ref="A1:C1"/>
    <mergeCell ref="B2:F2"/>
    <mergeCell ref="B7:D7"/>
    <mergeCell ref="F7:H7"/>
    <mergeCell ref="I18:J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92"/>
  <sheetViews>
    <sheetView zoomScaleNormal="100" workbookViewId="0">
      <selection activeCell="E9" sqref="E9"/>
    </sheetView>
  </sheetViews>
  <sheetFormatPr baseColWidth="10" defaultColWidth="9.140625" defaultRowHeight="15" x14ac:dyDescent="0.25"/>
  <cols>
    <col min="1" max="1" width="15.5703125" style="336" customWidth="1"/>
    <col min="2" max="2" width="9.140625" style="426"/>
    <col min="3" max="3" width="22.5703125" style="426" customWidth="1"/>
    <col min="4" max="4" width="11.85546875" style="426" customWidth="1"/>
    <col min="5" max="5" width="17" style="426" customWidth="1"/>
    <col min="6" max="6" width="15.7109375" style="426" customWidth="1"/>
    <col min="7" max="11" width="9.140625" style="336"/>
    <col min="12" max="12" width="8.7109375" style="336" customWidth="1"/>
    <col min="13" max="16384" width="9.140625" style="336"/>
  </cols>
  <sheetData>
    <row r="1" spans="1:21" ht="15" customHeight="1" x14ac:dyDescent="0.25">
      <c r="A1" s="722" t="s">
        <v>53</v>
      </c>
      <c r="B1" s="723" t="s">
        <v>204</v>
      </c>
      <c r="C1" s="723"/>
      <c r="D1" s="723"/>
      <c r="E1" s="723"/>
      <c r="F1" s="723"/>
      <c r="J1" s="337"/>
      <c r="K1" s="337"/>
      <c r="L1" s="719"/>
      <c r="M1" s="720"/>
      <c r="N1" s="720"/>
      <c r="O1" s="720"/>
      <c r="P1" s="720"/>
      <c r="Q1" s="720"/>
      <c r="R1" s="337"/>
      <c r="S1" s="337"/>
      <c r="T1" s="337"/>
      <c r="U1" s="337"/>
    </row>
    <row r="2" spans="1:21" x14ac:dyDescent="0.25">
      <c r="A2" s="722"/>
      <c r="B2" s="724">
        <v>2020</v>
      </c>
      <c r="C2" s="724"/>
      <c r="D2" s="724"/>
      <c r="E2" s="724"/>
      <c r="F2" s="724"/>
      <c r="J2" s="337"/>
      <c r="K2" s="337"/>
      <c r="L2" s="719"/>
      <c r="M2" s="720"/>
      <c r="N2" s="720"/>
      <c r="O2" s="720"/>
      <c r="P2" s="720"/>
      <c r="Q2" s="720"/>
      <c r="R2" s="337"/>
      <c r="S2" s="337"/>
      <c r="T2" s="337"/>
      <c r="U2" s="337"/>
    </row>
    <row r="3" spans="1:21" ht="75" x14ac:dyDescent="0.25">
      <c r="A3" s="722"/>
      <c r="B3" s="338" t="s">
        <v>205</v>
      </c>
      <c r="C3" s="339" t="s">
        <v>159</v>
      </c>
      <c r="D3" s="340" t="s">
        <v>206</v>
      </c>
      <c r="E3" s="338" t="s">
        <v>207</v>
      </c>
      <c r="F3" s="338" t="s">
        <v>443</v>
      </c>
      <c r="G3" s="342"/>
      <c r="J3" s="721"/>
      <c r="K3" s="337"/>
      <c r="L3" s="719"/>
      <c r="M3" s="343"/>
      <c r="N3" s="344"/>
      <c r="O3" s="343"/>
      <c r="P3" s="343"/>
      <c r="Q3" s="345"/>
      <c r="R3" s="337"/>
      <c r="S3" s="337"/>
      <c r="T3" s="337"/>
      <c r="U3" s="337"/>
    </row>
    <row r="4" spans="1:21" x14ac:dyDescent="0.25">
      <c r="A4" s="346" t="s">
        <v>18</v>
      </c>
      <c r="B4" s="347">
        <v>7.7627517923603798E-2</v>
      </c>
      <c r="C4" s="348">
        <f>D4+E4+F4</f>
        <v>30880.589558019965</v>
      </c>
      <c r="D4" s="349">
        <f t="shared" ref="D4:D9" si="0">B4*($D$26-$D$25-$D$22)</f>
        <v>29628.367156761065</v>
      </c>
      <c r="E4" s="349">
        <f>J42</f>
        <v>87.809632404843342</v>
      </c>
      <c r="F4" s="349">
        <f>15000*B4</f>
        <v>1164.412768854057</v>
      </c>
      <c r="J4" s="721"/>
      <c r="K4" s="337"/>
      <c r="L4" s="337"/>
      <c r="M4" s="350"/>
      <c r="N4" s="351"/>
      <c r="O4" s="351"/>
      <c r="P4" s="351"/>
      <c r="Q4" s="345"/>
      <c r="R4" s="350"/>
      <c r="S4" s="350"/>
      <c r="T4" s="352"/>
      <c r="U4" s="337"/>
    </row>
    <row r="5" spans="1:21" x14ac:dyDescent="0.25">
      <c r="A5" s="346" t="s">
        <v>19</v>
      </c>
      <c r="B5" s="347">
        <v>8.7918319308961795E-2</v>
      </c>
      <c r="C5" s="348">
        <f t="shared" ref="C5:C25" si="1">D5+E5+F5</f>
        <v>34962.677853428308</v>
      </c>
      <c r="D5" s="349">
        <f t="shared" si="0"/>
        <v>33556.093431389032</v>
      </c>
      <c r="E5" s="349">
        <f>F42</f>
        <v>87.809632404843342</v>
      </c>
      <c r="F5" s="349">
        <f t="shared" ref="F5:F24" si="2">15000*B5</f>
        <v>1318.774789634427</v>
      </c>
      <c r="J5" s="721"/>
      <c r="K5" s="337"/>
      <c r="L5" s="337"/>
      <c r="M5" s="350"/>
      <c r="N5" s="351"/>
      <c r="O5" s="351"/>
      <c r="P5" s="351"/>
      <c r="Q5" s="345"/>
      <c r="R5" s="350"/>
      <c r="S5" s="350"/>
      <c r="T5" s="352"/>
      <c r="U5" s="337"/>
    </row>
    <row r="6" spans="1:21" x14ac:dyDescent="0.25">
      <c r="A6" s="346" t="s">
        <v>20</v>
      </c>
      <c r="B6" s="347">
        <v>3.1261161503782497E-2</v>
      </c>
      <c r="C6" s="348">
        <f t="shared" si="1"/>
        <v>12488.284259874385</v>
      </c>
      <c r="D6" s="349">
        <f t="shared" si="0"/>
        <v>11931.557204912804</v>
      </c>
      <c r="E6" s="349">
        <f>P42</f>
        <v>87.809632404843342</v>
      </c>
      <c r="F6" s="349">
        <f t="shared" si="2"/>
        <v>468.91742255673745</v>
      </c>
      <c r="J6" s="721"/>
      <c r="K6" s="337"/>
      <c r="L6" s="337"/>
      <c r="M6" s="350"/>
      <c r="N6" s="351"/>
      <c r="O6" s="351"/>
      <c r="P6" s="351"/>
      <c r="Q6" s="345"/>
      <c r="R6" s="350"/>
      <c r="S6" s="350"/>
      <c r="T6" s="352"/>
      <c r="U6" s="337"/>
    </row>
    <row r="7" spans="1:21" x14ac:dyDescent="0.25">
      <c r="A7" s="346" t="s">
        <v>21</v>
      </c>
      <c r="B7" s="347">
        <v>0.23381500798886601</v>
      </c>
      <c r="C7" s="348">
        <f t="shared" si="1"/>
        <v>97193.917171191104</v>
      </c>
      <c r="D7" s="349">
        <f t="shared" si="0"/>
        <v>89240.994543620691</v>
      </c>
      <c r="E7" s="349">
        <f>H42</f>
        <v>4445.6975077374154</v>
      </c>
      <c r="F7" s="349">
        <f t="shared" si="2"/>
        <v>3507.22511983299</v>
      </c>
      <c r="J7" s="721"/>
      <c r="K7" s="337"/>
      <c r="L7" s="337"/>
      <c r="M7" s="350"/>
      <c r="N7" s="351"/>
      <c r="O7" s="351"/>
      <c r="P7" s="351"/>
      <c r="Q7" s="353"/>
      <c r="R7" s="350"/>
      <c r="S7" s="350"/>
      <c r="T7" s="352"/>
      <c r="U7" s="337"/>
    </row>
    <row r="8" spans="1:21" x14ac:dyDescent="0.25">
      <c r="A8" s="346" t="s">
        <v>22</v>
      </c>
      <c r="B8" s="347">
        <v>7.7627517923603798E-2</v>
      </c>
      <c r="C8" s="348">
        <f t="shared" si="1"/>
        <v>30880.589558019965</v>
      </c>
      <c r="D8" s="349">
        <f t="shared" si="0"/>
        <v>29628.367156761065</v>
      </c>
      <c r="E8" s="349">
        <f>I42</f>
        <v>87.809632404843342</v>
      </c>
      <c r="F8" s="349">
        <f t="shared" si="2"/>
        <v>1164.412768854057</v>
      </c>
      <c r="J8" s="337"/>
      <c r="K8" s="337"/>
      <c r="L8" s="337"/>
      <c r="M8" s="350"/>
      <c r="N8" s="351"/>
      <c r="O8" s="351"/>
      <c r="P8" s="351"/>
      <c r="Q8" s="345"/>
      <c r="R8" s="350"/>
      <c r="S8" s="350"/>
      <c r="T8" s="352"/>
      <c r="U8" s="337"/>
    </row>
    <row r="9" spans="1:21" x14ac:dyDescent="0.25">
      <c r="A9" s="346" t="s">
        <v>23</v>
      </c>
      <c r="B9" s="354">
        <v>4.1427660930528996E-3</v>
      </c>
      <c r="C9" s="348">
        <f t="shared" si="1"/>
        <v>1731.1351952834884</v>
      </c>
      <c r="D9" s="349">
        <f t="shared" si="0"/>
        <v>1581.1840714828516</v>
      </c>
      <c r="E9" s="349">
        <f>J44</f>
        <v>87.809632404843342</v>
      </c>
      <c r="F9" s="349">
        <f t="shared" si="2"/>
        <v>62.141491395793494</v>
      </c>
      <c r="J9" s="337"/>
      <c r="K9" s="337"/>
      <c r="L9" s="337"/>
      <c r="M9" s="355"/>
      <c r="N9" s="351"/>
      <c r="O9" s="351"/>
      <c r="P9" s="351"/>
      <c r="Q9" s="345"/>
      <c r="R9" s="355"/>
      <c r="S9" s="355"/>
      <c r="T9" s="352"/>
      <c r="U9" s="337"/>
    </row>
    <row r="10" spans="1:21" x14ac:dyDescent="0.25">
      <c r="A10" s="346" t="s">
        <v>24</v>
      </c>
      <c r="B10" s="347">
        <v>0</v>
      </c>
      <c r="C10" s="348">
        <f t="shared" si="1"/>
        <v>0</v>
      </c>
      <c r="D10" s="349"/>
      <c r="E10" s="349"/>
      <c r="F10" s="349">
        <f t="shared" si="2"/>
        <v>0</v>
      </c>
      <c r="J10" s="337"/>
      <c r="K10" s="337"/>
      <c r="L10" s="337"/>
      <c r="M10" s="350"/>
      <c r="N10" s="351"/>
      <c r="O10" s="351"/>
      <c r="P10" s="351"/>
      <c r="Q10" s="345"/>
      <c r="R10" s="350"/>
      <c r="S10" s="350"/>
      <c r="T10" s="352"/>
      <c r="U10" s="337"/>
    </row>
    <row r="11" spans="1:21" x14ac:dyDescent="0.25">
      <c r="A11" s="346" t="s">
        <v>25</v>
      </c>
      <c r="B11" s="347">
        <v>0</v>
      </c>
      <c r="C11" s="348">
        <f t="shared" si="1"/>
        <v>0</v>
      </c>
      <c r="D11" s="349"/>
      <c r="E11" s="349"/>
      <c r="F11" s="349">
        <f t="shared" si="2"/>
        <v>0</v>
      </c>
      <c r="J11" s="337"/>
      <c r="K11" s="337"/>
      <c r="L11" s="337"/>
      <c r="M11" s="350"/>
      <c r="N11" s="351"/>
      <c r="O11" s="351"/>
      <c r="P11" s="351"/>
      <c r="Q11" s="345"/>
      <c r="R11" s="350"/>
      <c r="S11" s="356"/>
      <c r="T11" s="352"/>
      <c r="U11" s="337"/>
    </row>
    <row r="12" spans="1:21" x14ac:dyDescent="0.25">
      <c r="A12" s="346" t="s">
        <v>26</v>
      </c>
      <c r="B12" s="347">
        <v>0</v>
      </c>
      <c r="C12" s="348">
        <f t="shared" si="1"/>
        <v>0</v>
      </c>
      <c r="D12" s="349"/>
      <c r="E12" s="349"/>
      <c r="F12" s="349">
        <f t="shared" si="2"/>
        <v>0</v>
      </c>
      <c r="J12" s="337"/>
      <c r="K12" s="337"/>
      <c r="L12" s="337"/>
      <c r="M12" s="350"/>
      <c r="N12" s="351"/>
      <c r="O12" s="351"/>
      <c r="P12" s="351"/>
      <c r="Q12" s="345"/>
      <c r="R12" s="350"/>
      <c r="S12" s="350"/>
      <c r="T12" s="352"/>
      <c r="U12" s="337"/>
    </row>
    <row r="13" spans="1:21" x14ac:dyDescent="0.25">
      <c r="A13" s="346" t="s">
        <v>27</v>
      </c>
      <c r="B13" s="347">
        <v>7.8827594953486693E-2</v>
      </c>
      <c r="C13" s="348">
        <f t="shared" si="1"/>
        <v>31356.628324470512</v>
      </c>
      <c r="D13" s="349">
        <f t="shared" ref="D13:D19" si="3">B13*($D$26-$D$25-$D$22)</f>
        <v>30086.404767763368</v>
      </c>
      <c r="E13" s="349">
        <f>G42</f>
        <v>87.809632404843342</v>
      </c>
      <c r="F13" s="349">
        <f t="shared" si="2"/>
        <v>1182.4139243023003</v>
      </c>
      <c r="J13" s="337"/>
      <c r="K13" s="337"/>
      <c r="L13" s="337"/>
      <c r="M13" s="350"/>
      <c r="N13" s="351"/>
      <c r="O13" s="351"/>
      <c r="P13" s="351"/>
      <c r="Q13" s="345"/>
      <c r="R13" s="350"/>
      <c r="S13" s="350"/>
      <c r="T13" s="352"/>
      <c r="U13" s="337"/>
    </row>
    <row r="14" spans="1:21" x14ac:dyDescent="0.25">
      <c r="A14" s="346" t="s">
        <v>28</v>
      </c>
      <c r="B14" s="347">
        <v>0.115706018423435</v>
      </c>
      <c r="C14" s="348">
        <f t="shared" si="1"/>
        <v>45985.321966734518</v>
      </c>
      <c r="D14" s="349">
        <f t="shared" si="3"/>
        <v>44161.922057978147</v>
      </c>
      <c r="E14" s="349">
        <f>K42</f>
        <v>87.809632404843342</v>
      </c>
      <c r="F14" s="349">
        <f t="shared" si="2"/>
        <v>1735.5902763515251</v>
      </c>
      <c r="J14" s="337"/>
      <c r="K14" s="337"/>
      <c r="L14" s="337"/>
      <c r="M14" s="350"/>
      <c r="N14" s="351"/>
      <c r="O14" s="351"/>
      <c r="P14" s="351"/>
      <c r="Q14" s="345"/>
      <c r="R14" s="350"/>
      <c r="S14" s="350"/>
      <c r="T14" s="352"/>
      <c r="U14" s="337"/>
    </row>
    <row r="15" spans="1:21" x14ac:dyDescent="0.25">
      <c r="A15" s="346" t="s">
        <v>29</v>
      </c>
      <c r="B15" s="347">
        <v>0</v>
      </c>
      <c r="C15" s="348">
        <f t="shared" si="1"/>
        <v>0</v>
      </c>
      <c r="D15" s="349"/>
      <c r="E15" s="349"/>
      <c r="F15" s="349">
        <f t="shared" si="2"/>
        <v>0</v>
      </c>
      <c r="J15" s="337"/>
      <c r="K15" s="337"/>
      <c r="L15" s="337"/>
      <c r="M15" s="350"/>
      <c r="N15" s="351"/>
      <c r="O15" s="351"/>
      <c r="P15" s="351"/>
      <c r="Q15" s="345"/>
      <c r="R15" s="350"/>
      <c r="S15" s="350"/>
      <c r="T15" s="352"/>
      <c r="U15" s="337"/>
    </row>
    <row r="16" spans="1:21" x14ac:dyDescent="0.25">
      <c r="A16" s="346" t="s">
        <v>30</v>
      </c>
      <c r="B16" s="347">
        <v>5.1803325123281702E-2</v>
      </c>
      <c r="C16" s="348">
        <f t="shared" si="1"/>
        <v>20636.816384187998</v>
      </c>
      <c r="D16" s="349">
        <f t="shared" si="3"/>
        <v>19771.956874933931</v>
      </c>
      <c r="E16" s="349">
        <f>N42</f>
        <v>87.809632404843342</v>
      </c>
      <c r="F16" s="349">
        <f t="shared" si="2"/>
        <v>777.04987684922548</v>
      </c>
      <c r="J16" s="337"/>
      <c r="K16" s="337"/>
      <c r="L16" s="337"/>
      <c r="M16" s="350"/>
      <c r="N16" s="351"/>
      <c r="O16" s="351"/>
      <c r="P16" s="351"/>
      <c r="Q16" s="345"/>
      <c r="R16" s="350"/>
      <c r="S16" s="350"/>
      <c r="T16" s="352"/>
      <c r="U16" s="337"/>
    </row>
    <row r="17" spans="1:1024" x14ac:dyDescent="0.25">
      <c r="A17" s="346" t="s">
        <v>31</v>
      </c>
      <c r="B17" s="347">
        <v>0.114587636778216</v>
      </c>
      <c r="C17" s="348">
        <f t="shared" si="1"/>
        <v>48972.367284274987</v>
      </c>
      <c r="D17" s="349">
        <f t="shared" si="3"/>
        <v>43735.065411105301</v>
      </c>
      <c r="E17" s="349">
        <f>E42</f>
        <v>3518.4873214964432</v>
      </c>
      <c r="F17" s="349">
        <f t="shared" si="2"/>
        <v>1718.81455167324</v>
      </c>
      <c r="J17" s="337"/>
      <c r="K17" s="337"/>
      <c r="L17" s="337"/>
      <c r="M17" s="350"/>
      <c r="N17" s="351"/>
      <c r="O17" s="351"/>
      <c r="P17" s="351"/>
      <c r="Q17" s="345"/>
      <c r="R17" s="350"/>
      <c r="S17" s="350"/>
      <c r="T17" s="352"/>
      <c r="U17" s="337"/>
    </row>
    <row r="18" spans="1:1024" x14ac:dyDescent="0.25">
      <c r="A18" s="346" t="s">
        <v>32</v>
      </c>
      <c r="B18" s="347">
        <v>5.5237348361374103E-2</v>
      </c>
      <c r="C18" s="348">
        <f t="shared" si="1"/>
        <v>22926.212618089201</v>
      </c>
      <c r="D18" s="349">
        <f t="shared" si="3"/>
        <v>21082.632574022773</v>
      </c>
      <c r="E18" s="349">
        <f>O42</f>
        <v>1015.0198186458163</v>
      </c>
      <c r="F18" s="349">
        <f t="shared" si="2"/>
        <v>828.56022542061157</v>
      </c>
      <c r="J18" s="337"/>
      <c r="K18" s="337"/>
      <c r="L18" s="337"/>
      <c r="M18" s="350"/>
      <c r="N18" s="351"/>
      <c r="O18" s="351"/>
      <c r="P18" s="351"/>
      <c r="Q18" s="345"/>
      <c r="R18" s="350"/>
      <c r="S18" s="350"/>
      <c r="T18" s="352"/>
      <c r="U18" s="337"/>
    </row>
    <row r="19" spans="1:1024" x14ac:dyDescent="0.25">
      <c r="A19" s="346" t="s">
        <v>33</v>
      </c>
      <c r="B19" s="347">
        <v>5.2524498174103401E-2</v>
      </c>
      <c r="C19" s="348">
        <f t="shared" si="1"/>
        <v>20922.886628815573</v>
      </c>
      <c r="D19" s="349">
        <f t="shared" si="3"/>
        <v>20047.209523799182</v>
      </c>
      <c r="E19" s="349">
        <f>M42</f>
        <v>87.809632404843342</v>
      </c>
      <c r="F19" s="349">
        <f t="shared" si="2"/>
        <v>787.86747261155097</v>
      </c>
      <c r="J19" s="337"/>
      <c r="K19" s="337"/>
      <c r="L19" s="337"/>
      <c r="M19" s="350"/>
      <c r="N19" s="351"/>
      <c r="O19" s="351"/>
      <c r="P19" s="351"/>
      <c r="Q19" s="345"/>
      <c r="R19" s="350"/>
      <c r="S19" s="350"/>
      <c r="T19" s="352"/>
      <c r="U19" s="337"/>
    </row>
    <row r="20" spans="1:1024" x14ac:dyDescent="0.25">
      <c r="A20" s="346" t="s">
        <v>34</v>
      </c>
      <c r="B20" s="347">
        <v>1.8921287444232E-2</v>
      </c>
      <c r="C20" s="348">
        <f t="shared" si="1"/>
        <v>7593.3831167063499</v>
      </c>
      <c r="D20" s="349">
        <f>B20*($D$26-$D$25-$D$22)</f>
        <v>7221.7541726380268</v>
      </c>
      <c r="E20" s="349">
        <f>Q42</f>
        <v>87.809632404843342</v>
      </c>
      <c r="F20" s="349">
        <f t="shared" si="2"/>
        <v>283.81931166347999</v>
      </c>
      <c r="J20" s="337"/>
      <c r="K20" s="337"/>
      <c r="L20" s="337"/>
      <c r="M20" s="350"/>
      <c r="N20" s="351"/>
      <c r="O20" s="351"/>
      <c r="P20" s="351"/>
      <c r="Q20" s="345"/>
      <c r="R20" s="350"/>
      <c r="S20" s="350"/>
      <c r="T20" s="352"/>
      <c r="U20" s="337"/>
    </row>
    <row r="21" spans="1:1024" x14ac:dyDescent="0.25">
      <c r="A21" s="346" t="s">
        <v>35</v>
      </c>
      <c r="B21" s="347">
        <v>0</v>
      </c>
      <c r="C21" s="348">
        <f t="shared" si="1"/>
        <v>0</v>
      </c>
      <c r="D21" s="349"/>
      <c r="E21" s="349"/>
      <c r="F21" s="349">
        <f t="shared" si="2"/>
        <v>0</v>
      </c>
      <c r="J21" s="337"/>
      <c r="K21" s="337"/>
      <c r="L21" s="357"/>
      <c r="M21" s="356"/>
      <c r="N21" s="358"/>
      <c r="O21" s="358"/>
      <c r="P21" s="358"/>
      <c r="Q21" s="345"/>
      <c r="R21" s="359"/>
      <c r="S21" s="359"/>
      <c r="T21" s="352"/>
      <c r="U21" s="337"/>
    </row>
    <row r="22" spans="1:1024" x14ac:dyDescent="0.25">
      <c r="A22" s="360" t="s">
        <v>36</v>
      </c>
      <c r="B22" s="361">
        <v>0</v>
      </c>
      <c r="C22" s="348">
        <f>D22+E22+F22</f>
        <v>25322.512026931636</v>
      </c>
      <c r="D22" s="362">
        <f>Q76</f>
        <v>25234.702394526794</v>
      </c>
      <c r="E22" s="362">
        <f>I42</f>
        <v>87.809632404843342</v>
      </c>
      <c r="F22" s="349">
        <f t="shared" si="2"/>
        <v>0</v>
      </c>
      <c r="I22" s="363"/>
      <c r="J22" s="449"/>
      <c r="K22" s="337"/>
      <c r="L22" s="357"/>
      <c r="M22" s="356"/>
      <c r="N22" s="358"/>
      <c r="O22" s="358"/>
      <c r="P22" s="358"/>
      <c r="Q22" s="345"/>
      <c r="R22" s="337"/>
      <c r="S22" s="337"/>
      <c r="T22" s="337"/>
      <c r="U22" s="337"/>
    </row>
    <row r="23" spans="1:1024" x14ac:dyDescent="0.25">
      <c r="A23" s="360" t="s">
        <v>37</v>
      </c>
      <c r="B23" s="361">
        <v>0</v>
      </c>
      <c r="C23" s="348">
        <f t="shared" si="1"/>
        <v>0</v>
      </c>
      <c r="D23" s="362"/>
      <c r="E23" s="362"/>
      <c r="F23" s="349">
        <f t="shared" si="2"/>
        <v>0</v>
      </c>
      <c r="J23" s="337"/>
      <c r="K23" s="337"/>
      <c r="L23" s="357"/>
      <c r="M23" s="356"/>
      <c r="N23" s="358"/>
      <c r="O23" s="358"/>
      <c r="P23" s="358"/>
      <c r="Q23" s="345"/>
      <c r="R23" s="337"/>
      <c r="S23" s="337"/>
      <c r="T23" s="337"/>
      <c r="U23" s="337"/>
    </row>
    <row r="24" spans="1:1024" x14ac:dyDescent="0.25">
      <c r="A24" s="360" t="s">
        <v>39</v>
      </c>
      <c r="B24" s="361">
        <v>0</v>
      </c>
      <c r="C24" s="348">
        <f t="shared" si="1"/>
        <v>0</v>
      </c>
      <c r="D24" s="362"/>
      <c r="E24" s="362"/>
      <c r="F24" s="349">
        <f t="shared" si="2"/>
        <v>0</v>
      </c>
      <c r="J24" s="337"/>
      <c r="K24" s="337"/>
      <c r="L24" s="357"/>
      <c r="M24" s="356"/>
      <c r="N24" s="358"/>
      <c r="O24" s="358"/>
      <c r="P24" s="358"/>
      <c r="Q24" s="345"/>
      <c r="R24" s="337"/>
      <c r="S24" s="337"/>
      <c r="T24" s="337"/>
      <c r="U24" s="337"/>
    </row>
    <row r="25" spans="1:1024" x14ac:dyDescent="0.25">
      <c r="A25" s="360" t="s">
        <v>5</v>
      </c>
      <c r="B25" s="364">
        <v>0.24</v>
      </c>
      <c r="C25" s="348">
        <f t="shared" si="1"/>
        <v>128497.32989737741</v>
      </c>
      <c r="D25" s="365">
        <f>B25*D26</f>
        <v>128497.32989737741</v>
      </c>
      <c r="E25" s="365"/>
      <c r="F25" s="365"/>
      <c r="J25" s="337"/>
      <c r="K25" s="337"/>
      <c r="L25" s="357"/>
      <c r="M25" s="356"/>
      <c r="N25" s="358"/>
      <c r="O25" s="358"/>
      <c r="P25" s="358"/>
      <c r="Q25" s="345"/>
      <c r="R25" s="337"/>
      <c r="S25" s="337"/>
      <c r="T25" s="337"/>
      <c r="U25" s="337"/>
    </row>
    <row r="26" spans="1:1024" ht="30" customHeight="1" x14ac:dyDescent="0.25">
      <c r="A26" s="366" t="s">
        <v>50</v>
      </c>
      <c r="B26" s="367"/>
      <c r="C26" s="368">
        <f>D26+E26+F26</f>
        <v>560350.65184340556</v>
      </c>
      <c r="D26" s="369">
        <f>D31</f>
        <v>535405.54123907257</v>
      </c>
      <c r="E26" s="370">
        <f>SUM(E4:E25)</f>
        <v>9945.1106043329546</v>
      </c>
      <c r="F26" s="370">
        <v>15000</v>
      </c>
      <c r="J26" s="337"/>
      <c r="K26" s="337"/>
      <c r="L26" s="337"/>
      <c r="M26" s="350"/>
      <c r="N26" s="351"/>
      <c r="O26" s="351"/>
      <c r="P26" s="351"/>
      <c r="Q26" s="345"/>
      <c r="R26" s="337"/>
      <c r="S26" s="337"/>
      <c r="T26" s="337"/>
      <c r="U26" s="337"/>
    </row>
    <row r="27" spans="1:1024" s="375" customFormat="1" x14ac:dyDescent="0.25">
      <c r="A27" s="371" t="s">
        <v>40</v>
      </c>
      <c r="B27" s="372"/>
      <c r="C27" s="373">
        <f>SUM(C4:C25)</f>
        <v>560350.65184340533</v>
      </c>
      <c r="D27" s="374">
        <f>SUM(D4:D25)</f>
        <v>535405.54123907234</v>
      </c>
      <c r="E27" s="374">
        <f>SUM(E4:E25)</f>
        <v>9945.1106043329546</v>
      </c>
      <c r="F27" s="374">
        <f>SUM(F4:F25)</f>
        <v>14999.999999999996</v>
      </c>
      <c r="J27" s="376"/>
      <c r="K27" s="376"/>
      <c r="L27" s="377"/>
      <c r="M27" s="378"/>
      <c r="N27" s="351"/>
      <c r="O27" s="379"/>
      <c r="P27" s="379"/>
      <c r="Q27" s="376"/>
      <c r="R27" s="376"/>
      <c r="S27" s="376"/>
      <c r="T27" s="376"/>
      <c r="U27" s="376"/>
      <c r="AMH27" s="336"/>
      <c r="AMI27" s="336"/>
      <c r="AMJ27" s="336"/>
    </row>
    <row r="28" spans="1:1024" x14ac:dyDescent="0.25">
      <c r="A28" s="377"/>
      <c r="B28" s="378"/>
      <c r="C28" s="378"/>
      <c r="D28" s="380"/>
      <c r="E28" s="380"/>
      <c r="F28" s="336"/>
      <c r="J28" s="337"/>
      <c r="K28" s="337"/>
      <c r="L28" s="381"/>
      <c r="M28" s="372"/>
      <c r="N28" s="373"/>
      <c r="O28" s="374"/>
      <c r="P28" s="374"/>
      <c r="Q28" s="337"/>
      <c r="R28" s="337"/>
      <c r="S28" s="337"/>
      <c r="T28" s="337"/>
      <c r="U28" s="337"/>
    </row>
    <row r="29" spans="1:1024" ht="30" x14ac:dyDescent="0.25">
      <c r="A29" s="382"/>
      <c r="B29" s="383" t="s">
        <v>208</v>
      </c>
      <c r="C29" s="384">
        <f>SUBTOTAL(3,D4:D24)</f>
        <v>14</v>
      </c>
      <c r="D29" s="336"/>
      <c r="E29" s="384"/>
      <c r="F29" s="380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</row>
    <row r="30" spans="1:1024" x14ac:dyDescent="0.25">
      <c r="A30" s="385"/>
      <c r="B30" s="725" t="s">
        <v>209</v>
      </c>
      <c r="C30" s="725"/>
      <c r="D30" s="725"/>
      <c r="E30" s="386"/>
      <c r="F30" s="384"/>
    </row>
    <row r="31" spans="1:1024" ht="14.85" customHeight="1" x14ac:dyDescent="0.25">
      <c r="A31" s="385"/>
      <c r="B31" s="726" t="s">
        <v>440</v>
      </c>
      <c r="C31" s="726"/>
      <c r="D31" s="370">
        <f>D33*D35</f>
        <v>535405.54123907257</v>
      </c>
      <c r="E31" s="386"/>
      <c r="F31" s="387" t="s">
        <v>436</v>
      </c>
    </row>
    <row r="32" spans="1:1024" ht="14.85" customHeight="1" x14ac:dyDescent="0.25">
      <c r="A32" s="385"/>
      <c r="B32" s="726" t="s">
        <v>439</v>
      </c>
      <c r="C32" s="726"/>
      <c r="D32" s="370">
        <f>D34*D35</f>
        <v>642486.64948688704</v>
      </c>
      <c r="E32" s="386"/>
      <c r="F32" s="336"/>
    </row>
    <row r="33" spans="1:102" ht="14.85" customHeight="1" x14ac:dyDescent="0.25">
      <c r="A33" s="385"/>
      <c r="B33" s="726" t="s">
        <v>437</v>
      </c>
      <c r="C33" s="726"/>
      <c r="D33" s="370">
        <v>513919</v>
      </c>
      <c r="E33" s="386"/>
      <c r="F33" s="387" t="s">
        <v>438</v>
      </c>
    </row>
    <row r="34" spans="1:102" ht="14.85" customHeight="1" x14ac:dyDescent="0.25">
      <c r="A34" s="385"/>
      <c r="B34" s="726" t="s">
        <v>212</v>
      </c>
      <c r="C34" s="726"/>
      <c r="D34" s="370">
        <f>D33*1.2</f>
        <v>616702.79999999993</v>
      </c>
      <c r="E34" s="388"/>
      <c r="F34" s="336"/>
    </row>
    <row r="35" spans="1:102" ht="14.85" customHeight="1" x14ac:dyDescent="0.25">
      <c r="B35" s="726" t="s">
        <v>442</v>
      </c>
      <c r="C35" s="726"/>
      <c r="D35" s="389">
        <f>2741/2631</f>
        <v>1.0418091980235651</v>
      </c>
      <c r="E35" s="336"/>
      <c r="F35" s="336"/>
    </row>
    <row r="36" spans="1:102" ht="14.85" customHeight="1" x14ac:dyDescent="0.25">
      <c r="B36" s="336"/>
      <c r="C36" s="336"/>
      <c r="D36" s="336"/>
      <c r="E36" s="336"/>
      <c r="F36" s="336"/>
    </row>
    <row r="37" spans="1:102" x14ac:dyDescent="0.25">
      <c r="B37" s="727" t="s">
        <v>213</v>
      </c>
      <c r="C37" s="727"/>
      <c r="D37" s="727"/>
      <c r="E37" s="390"/>
      <c r="F37" s="336"/>
    </row>
    <row r="38" spans="1:102" x14ac:dyDescent="0.25">
      <c r="B38" s="728" t="s">
        <v>214</v>
      </c>
      <c r="C38" s="728"/>
      <c r="D38" s="370">
        <f>D43</f>
        <v>33950.478145191941</v>
      </c>
      <c r="E38" s="390"/>
      <c r="F38" s="390"/>
    </row>
    <row r="39" spans="1:102" x14ac:dyDescent="0.25">
      <c r="B39" s="336"/>
      <c r="C39" s="336"/>
      <c r="D39" s="390"/>
      <c r="E39" s="390"/>
      <c r="F39" s="390"/>
    </row>
    <row r="40" spans="1:102" x14ac:dyDescent="0.25">
      <c r="A40" s="391" t="s">
        <v>215</v>
      </c>
      <c r="B40" s="392"/>
      <c r="C40" s="392"/>
      <c r="D40" s="392"/>
      <c r="E40" s="392"/>
      <c r="F40" s="393"/>
      <c r="G40" s="394"/>
      <c r="H40" s="394"/>
      <c r="I40" s="394"/>
      <c r="J40" s="394"/>
      <c r="K40" s="394"/>
      <c r="L40" s="394"/>
      <c r="M40" s="395"/>
      <c r="N40" s="394"/>
      <c r="O40" s="394"/>
      <c r="P40" s="394"/>
      <c r="Q40" s="394"/>
      <c r="R40" s="394"/>
    </row>
    <row r="41" spans="1:102" s="400" customFormat="1" x14ac:dyDescent="0.2">
      <c r="A41" s="729">
        <v>2020</v>
      </c>
      <c r="B41" s="729"/>
      <c r="C41" s="729"/>
      <c r="D41" s="396" t="s">
        <v>79</v>
      </c>
      <c r="E41" s="397" t="s">
        <v>18</v>
      </c>
      <c r="F41" s="397" t="s">
        <v>413</v>
      </c>
      <c r="G41" s="397" t="s">
        <v>20</v>
      </c>
      <c r="H41" s="397" t="s">
        <v>21</v>
      </c>
      <c r="I41" s="397" t="s">
        <v>22</v>
      </c>
      <c r="J41" s="397" t="s">
        <v>23</v>
      </c>
      <c r="K41" s="397" t="s">
        <v>27</v>
      </c>
      <c r="L41" s="397" t="s">
        <v>414</v>
      </c>
      <c r="M41" s="398" t="s">
        <v>30</v>
      </c>
      <c r="N41" s="397" t="s">
        <v>415</v>
      </c>
      <c r="O41" s="397" t="s">
        <v>32</v>
      </c>
      <c r="P41" s="397" t="s">
        <v>33</v>
      </c>
      <c r="Q41" s="399" t="s">
        <v>416</v>
      </c>
      <c r="R41" s="399" t="s">
        <v>261</v>
      </c>
    </row>
    <row r="42" spans="1:102" x14ac:dyDescent="0.25">
      <c r="A42" s="730" t="s">
        <v>216</v>
      </c>
      <c r="B42" s="730"/>
      <c r="C42" s="730"/>
      <c r="D42" s="401">
        <f>SUM(E42:R42)</f>
        <v>35179.81299885975</v>
      </c>
      <c r="E42" s="402">
        <f>E43+E44</f>
        <v>3518.4873214964432</v>
      </c>
      <c r="F42" s="402">
        <f t="shared" ref="F42:R42" si="4">F43+F44</f>
        <v>87.809632404843342</v>
      </c>
      <c r="G42" s="402">
        <f t="shared" si="4"/>
        <v>87.809632404843342</v>
      </c>
      <c r="H42" s="402">
        <f t="shared" si="4"/>
        <v>4445.6975077374154</v>
      </c>
      <c r="I42" s="402">
        <f t="shared" si="4"/>
        <v>87.809632404843342</v>
      </c>
      <c r="J42" s="402">
        <f t="shared" si="4"/>
        <v>87.809632404843342</v>
      </c>
      <c r="K42" s="402">
        <f t="shared" si="4"/>
        <v>87.809632404843342</v>
      </c>
      <c r="L42" s="402">
        <f t="shared" si="4"/>
        <v>87.809632404843342</v>
      </c>
      <c r="M42" s="402">
        <f t="shared" si="4"/>
        <v>87.809632404843342</v>
      </c>
      <c r="N42" s="402">
        <f t="shared" si="4"/>
        <v>87.809632404843342</v>
      </c>
      <c r="O42" s="402">
        <f t="shared" si="4"/>
        <v>1015.0198186458163</v>
      </c>
      <c r="P42" s="402">
        <f t="shared" si="4"/>
        <v>87.809632404843342</v>
      </c>
      <c r="Q42" s="402">
        <f t="shared" si="4"/>
        <v>87.809632404843342</v>
      </c>
      <c r="R42" s="402">
        <f t="shared" si="4"/>
        <v>25322.512026931636</v>
      </c>
    </row>
    <row r="43" spans="1:102" s="404" customFormat="1" x14ac:dyDescent="0.2">
      <c r="A43" s="730" t="s">
        <v>217</v>
      </c>
      <c r="B43" s="730"/>
      <c r="C43" s="730"/>
      <c r="D43" s="401">
        <f t="shared" ref="D43:D44" si="5">SUM(E43:R43)</f>
        <v>33950.478145191941</v>
      </c>
      <c r="E43" s="403">
        <f>D76+D85</f>
        <v>3430.6776890915999</v>
      </c>
      <c r="F43" s="403">
        <f t="shared" ref="F43:R43" si="6">E76+E85</f>
        <v>0</v>
      </c>
      <c r="G43" s="403">
        <f t="shared" si="6"/>
        <v>0</v>
      </c>
      <c r="H43" s="403">
        <f t="shared" si="6"/>
        <v>4357.8878753325725</v>
      </c>
      <c r="I43" s="403">
        <f t="shared" si="6"/>
        <v>0</v>
      </c>
      <c r="J43" s="403">
        <f t="shared" si="6"/>
        <v>0</v>
      </c>
      <c r="K43" s="403">
        <f t="shared" si="6"/>
        <v>0</v>
      </c>
      <c r="L43" s="403">
        <f t="shared" si="6"/>
        <v>0</v>
      </c>
      <c r="M43" s="403">
        <f t="shared" si="6"/>
        <v>0</v>
      </c>
      <c r="N43" s="403">
        <f t="shared" si="6"/>
        <v>0</v>
      </c>
      <c r="O43" s="403">
        <f t="shared" si="6"/>
        <v>927.21018624097292</v>
      </c>
      <c r="P43" s="403">
        <f t="shared" si="6"/>
        <v>0</v>
      </c>
      <c r="Q43" s="403">
        <f t="shared" si="6"/>
        <v>0</v>
      </c>
      <c r="R43" s="403">
        <f t="shared" si="6"/>
        <v>25234.702394526794</v>
      </c>
    </row>
    <row r="44" spans="1:102" s="405" customFormat="1" x14ac:dyDescent="0.25">
      <c r="A44" s="732" t="s">
        <v>417</v>
      </c>
      <c r="B44" s="732"/>
      <c r="C44" s="732"/>
      <c r="D44" s="401">
        <f t="shared" si="5"/>
        <v>1229.3348536678068</v>
      </c>
      <c r="E44" s="403">
        <f>D66</f>
        <v>87.809632404843342</v>
      </c>
      <c r="F44" s="403">
        <f t="shared" ref="F44:R44" si="7">E66</f>
        <v>87.809632404843342</v>
      </c>
      <c r="G44" s="403">
        <f t="shared" si="7"/>
        <v>87.809632404843342</v>
      </c>
      <c r="H44" s="403">
        <f t="shared" si="7"/>
        <v>87.809632404843342</v>
      </c>
      <c r="I44" s="403">
        <f t="shared" si="7"/>
        <v>87.809632404843342</v>
      </c>
      <c r="J44" s="403">
        <f t="shared" si="7"/>
        <v>87.809632404843342</v>
      </c>
      <c r="K44" s="403">
        <f t="shared" si="7"/>
        <v>87.809632404843342</v>
      </c>
      <c r="L44" s="403">
        <f t="shared" si="7"/>
        <v>87.809632404843342</v>
      </c>
      <c r="M44" s="403">
        <f t="shared" si="7"/>
        <v>87.809632404843342</v>
      </c>
      <c r="N44" s="403">
        <f t="shared" si="7"/>
        <v>87.809632404843342</v>
      </c>
      <c r="O44" s="403">
        <f t="shared" si="7"/>
        <v>87.809632404843342</v>
      </c>
      <c r="P44" s="403">
        <f t="shared" si="7"/>
        <v>87.809632404843342</v>
      </c>
      <c r="Q44" s="403">
        <f t="shared" si="7"/>
        <v>87.809632404843342</v>
      </c>
      <c r="R44" s="403">
        <f t="shared" si="7"/>
        <v>87.809632404843342</v>
      </c>
    </row>
    <row r="45" spans="1:102" s="410" customFormat="1" x14ac:dyDescent="0.25">
      <c r="A45" s="406"/>
      <c r="B45" s="407"/>
      <c r="C45" s="408"/>
      <c r="D45" s="408"/>
      <c r="E45" s="408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09"/>
      <c r="AI45" s="409"/>
      <c r="AJ45" s="409"/>
      <c r="AK45" s="409"/>
      <c r="AL45" s="409"/>
      <c r="AM45" s="409"/>
      <c r="AN45" s="409"/>
      <c r="AO45" s="409"/>
      <c r="AP45" s="409"/>
      <c r="AQ45" s="409"/>
      <c r="AR45" s="409"/>
      <c r="AS45" s="409"/>
      <c r="AT45" s="409"/>
      <c r="AU45" s="409"/>
      <c r="AV45" s="409"/>
      <c r="AW45" s="409"/>
      <c r="AX45" s="409"/>
      <c r="AY45" s="409"/>
      <c r="AZ45" s="409"/>
      <c r="BA45" s="409"/>
      <c r="BB45" s="409"/>
      <c r="BC45" s="409"/>
      <c r="BD45" s="409"/>
      <c r="BE45" s="409"/>
      <c r="BF45" s="409"/>
      <c r="BG45" s="409"/>
      <c r="BH45" s="409"/>
      <c r="BI45" s="409"/>
      <c r="BJ45" s="409"/>
      <c r="BK45" s="409"/>
      <c r="BL45" s="409"/>
      <c r="BM45" s="409"/>
      <c r="BN45" s="409"/>
      <c r="BO45" s="409"/>
      <c r="BP45" s="409"/>
      <c r="BQ45" s="409"/>
      <c r="BR45" s="409"/>
      <c r="BS45" s="409"/>
      <c r="BT45" s="409"/>
      <c r="BU45" s="409"/>
      <c r="BV45" s="409"/>
      <c r="BW45" s="409"/>
      <c r="BX45" s="409"/>
      <c r="BY45" s="409"/>
      <c r="BZ45" s="409"/>
      <c r="CA45" s="409"/>
      <c r="CB45" s="409"/>
      <c r="CC45" s="409"/>
      <c r="CD45" s="409"/>
      <c r="CE45" s="409"/>
      <c r="CF45" s="409"/>
      <c r="CG45" s="409"/>
      <c r="CH45" s="409"/>
      <c r="CI45" s="409"/>
      <c r="CJ45" s="409"/>
      <c r="CK45" s="409"/>
      <c r="CL45" s="409"/>
      <c r="CM45" s="409"/>
      <c r="CN45" s="409"/>
      <c r="CO45" s="409"/>
      <c r="CP45" s="409"/>
      <c r="CQ45" s="409"/>
      <c r="CR45" s="409"/>
      <c r="CS45" s="409"/>
      <c r="CT45" s="409"/>
      <c r="CU45" s="409"/>
      <c r="CV45" s="409"/>
      <c r="CW45" s="409"/>
      <c r="CX45" s="409"/>
    </row>
    <row r="46" spans="1:102" hidden="1" x14ac:dyDescent="0.25">
      <c r="A46" s="411" t="s">
        <v>218</v>
      </c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</row>
    <row r="47" spans="1:102" s="411" customFormat="1" ht="25.5" hidden="1" x14ac:dyDescent="0.2">
      <c r="A47" s="412" t="s">
        <v>219</v>
      </c>
      <c r="B47" s="413" t="s">
        <v>220</v>
      </c>
      <c r="C47" s="413" t="s">
        <v>221</v>
      </c>
      <c r="D47" s="414" t="s">
        <v>79</v>
      </c>
      <c r="E47" s="415" t="s">
        <v>222</v>
      </c>
      <c r="F47" s="415" t="s">
        <v>21</v>
      </c>
      <c r="G47" s="415" t="s">
        <v>27</v>
      </c>
      <c r="H47" s="415" t="s">
        <v>22</v>
      </c>
      <c r="I47" s="416" t="s">
        <v>36</v>
      </c>
      <c r="J47" s="415" t="s">
        <v>18</v>
      </c>
      <c r="K47" s="415" t="s">
        <v>223</v>
      </c>
      <c r="L47" s="415" t="s">
        <v>33</v>
      </c>
      <c r="M47" s="415" t="s">
        <v>30</v>
      </c>
      <c r="N47" s="415" t="s">
        <v>32</v>
      </c>
      <c r="O47" s="415" t="s">
        <v>20</v>
      </c>
    </row>
    <row r="48" spans="1:102" s="421" customFormat="1" ht="15" hidden="1" customHeight="1" x14ac:dyDescent="0.2">
      <c r="A48" s="417">
        <v>2017</v>
      </c>
      <c r="B48" s="418">
        <f>(2570/2458)</f>
        <v>1.0455655004068349</v>
      </c>
      <c r="C48" s="419">
        <f>C51*B48</f>
        <v>375.35801464605373</v>
      </c>
      <c r="D48" s="420">
        <f>SUM(E49:Z49)</f>
        <v>7741.4221500000003</v>
      </c>
      <c r="E48" s="420">
        <f>6*$C$48/3+E52*$C$48</f>
        <v>2627.5061025223763</v>
      </c>
      <c r="F48" s="420">
        <f>6*$C$48/3+F52*$C$48</f>
        <v>2627.5061025223763</v>
      </c>
      <c r="G48" s="420">
        <f>6*$C$41/3+G52*$C$41</f>
        <v>0</v>
      </c>
      <c r="H48" s="420">
        <v>0</v>
      </c>
      <c r="I48" s="420">
        <v>0</v>
      </c>
      <c r="J48" s="420">
        <f>6*$C$41/3+J52*$C$41</f>
        <v>0</v>
      </c>
      <c r="K48" s="420">
        <v>0</v>
      </c>
      <c r="L48" s="420">
        <v>0</v>
      </c>
      <c r="M48" s="420">
        <v>0</v>
      </c>
      <c r="N48" s="420">
        <v>0</v>
      </c>
      <c r="O48" s="420">
        <v>0</v>
      </c>
    </row>
    <row r="49" spans="1:17" ht="15" hidden="1" customHeight="1" x14ac:dyDescent="0.25">
      <c r="A49" s="417">
        <v>2016</v>
      </c>
      <c r="B49" s="418">
        <v>1.02685</v>
      </c>
      <c r="C49" s="420">
        <f>B49*C51</f>
        <v>368.63915000000003</v>
      </c>
      <c r="D49" s="420">
        <f>SUM(E50:Z50)</f>
        <v>7508.844000000001</v>
      </c>
      <c r="E49" s="420">
        <f>6*$C$49/3+E52*$C$49</f>
        <v>2580.4740500000003</v>
      </c>
      <c r="F49" s="420">
        <f>6*$C$49/3+F52*$C$49</f>
        <v>2580.4740500000003</v>
      </c>
      <c r="G49" s="420">
        <f>6*$C$49/3+G52*$C$49</f>
        <v>1474.5566000000001</v>
      </c>
      <c r="H49" s="420">
        <v>0</v>
      </c>
      <c r="I49" s="420">
        <v>0</v>
      </c>
      <c r="J49" s="420">
        <f>$J$52*C49</f>
        <v>1105.9174500000001</v>
      </c>
      <c r="K49" s="420">
        <v>0</v>
      </c>
      <c r="L49" s="420">
        <v>0</v>
      </c>
      <c r="M49" s="420">
        <v>0</v>
      </c>
      <c r="N49" s="420">
        <v>0</v>
      </c>
      <c r="O49" s="420">
        <v>0</v>
      </c>
    </row>
    <row r="50" spans="1:17" s="337" customFormat="1" hidden="1" x14ac:dyDescent="0.25">
      <c r="A50" s="417">
        <v>2015</v>
      </c>
      <c r="B50" s="422">
        <v>0.996</v>
      </c>
      <c r="C50" s="420">
        <f>B50*C51</f>
        <v>357.56400000000002</v>
      </c>
      <c r="D50" s="420">
        <f>SUM(E51:Z51)</f>
        <v>7539</v>
      </c>
      <c r="E50" s="420">
        <f>6*$C$50/3+E52*$C$50</f>
        <v>2502.9480000000003</v>
      </c>
      <c r="F50" s="420">
        <f>6*$C$50/3+F52*$C$50</f>
        <v>2502.9480000000003</v>
      </c>
      <c r="G50" s="420">
        <f>6*$C$50/3+G52*$C$50</f>
        <v>1430.2560000000001</v>
      </c>
      <c r="H50" s="420">
        <v>0</v>
      </c>
      <c r="I50" s="420">
        <v>0</v>
      </c>
      <c r="J50" s="420">
        <f>$J$52*C50</f>
        <v>1072.692</v>
      </c>
      <c r="K50" s="420">
        <v>0</v>
      </c>
      <c r="L50" s="420">
        <v>0</v>
      </c>
      <c r="M50" s="420">
        <v>0</v>
      </c>
      <c r="N50" s="420">
        <v>0</v>
      </c>
      <c r="O50" s="420">
        <v>0</v>
      </c>
    </row>
    <row r="51" spans="1:17" s="337" customFormat="1" hidden="1" x14ac:dyDescent="0.25">
      <c r="A51" s="417">
        <v>2014</v>
      </c>
      <c r="B51" s="422" t="s">
        <v>156</v>
      </c>
      <c r="C51" s="420">
        <v>359</v>
      </c>
      <c r="D51" s="420">
        <f>SUM(E52:Z52)</f>
        <v>15</v>
      </c>
      <c r="E51" s="420">
        <f>6*$C$51/3+E52*$C$51</f>
        <v>2513</v>
      </c>
      <c r="F51" s="420">
        <f>6*$C$51/3+F52*$C$51</f>
        <v>2513</v>
      </c>
      <c r="G51" s="420">
        <f>6*$C$51/3+G52*$C$51</f>
        <v>1436</v>
      </c>
      <c r="H51" s="420">
        <v>0</v>
      </c>
      <c r="I51" s="420">
        <v>0</v>
      </c>
      <c r="J51" s="420">
        <f>$J$52*C51</f>
        <v>1077</v>
      </c>
      <c r="K51" s="420">
        <v>0</v>
      </c>
      <c r="L51" s="420">
        <v>0</v>
      </c>
      <c r="M51" s="420">
        <v>0</v>
      </c>
      <c r="N51" s="420">
        <v>0</v>
      </c>
      <c r="O51" s="420">
        <v>0</v>
      </c>
    </row>
    <row r="52" spans="1:17" s="337" customFormat="1" hidden="1" x14ac:dyDescent="0.25">
      <c r="A52" s="731" t="s">
        <v>224</v>
      </c>
      <c r="B52" s="731"/>
      <c r="C52" s="422" t="s">
        <v>225</v>
      </c>
      <c r="D52" s="422"/>
      <c r="E52" s="422">
        <v>5</v>
      </c>
      <c r="F52" s="423">
        <v>5</v>
      </c>
      <c r="G52" s="423">
        <v>2</v>
      </c>
      <c r="H52" s="423">
        <v>0</v>
      </c>
      <c r="I52" s="423">
        <v>0</v>
      </c>
      <c r="J52" s="423">
        <v>3</v>
      </c>
      <c r="K52" s="423">
        <v>0</v>
      </c>
      <c r="L52" s="423">
        <v>0</v>
      </c>
      <c r="M52" s="423">
        <v>0</v>
      </c>
      <c r="N52" s="423">
        <v>0</v>
      </c>
      <c r="O52" s="423">
        <v>0</v>
      </c>
    </row>
    <row r="53" spans="1:17" hidden="1" x14ac:dyDescent="0.25">
      <c r="A53" s="424"/>
      <c r="B53" s="425"/>
      <c r="C53" s="425"/>
      <c r="D53" s="425"/>
      <c r="E53" s="336"/>
    </row>
    <row r="54" spans="1:17" hidden="1" x14ac:dyDescent="0.25">
      <c r="B54" s="733" t="s">
        <v>226</v>
      </c>
      <c r="C54" s="733"/>
      <c r="D54" s="733"/>
      <c r="E54" s="733"/>
      <c r="F54" s="337"/>
      <c r="G54" s="337"/>
      <c r="H54" s="337"/>
      <c r="I54" s="337"/>
      <c r="J54" s="337"/>
      <c r="K54" s="337"/>
      <c r="L54" s="337"/>
      <c r="M54" s="337"/>
      <c r="N54" s="337"/>
    </row>
    <row r="55" spans="1:17" ht="15" hidden="1" customHeight="1" x14ac:dyDescent="0.25">
      <c r="A55" s="417" t="s">
        <v>219</v>
      </c>
      <c r="B55" s="734" t="s">
        <v>227</v>
      </c>
      <c r="C55" s="734"/>
      <c r="D55" s="735" t="s">
        <v>21</v>
      </c>
      <c r="E55" s="735"/>
      <c r="F55" s="717" t="s">
        <v>222</v>
      </c>
      <c r="G55" s="718"/>
      <c r="H55" s="717" t="s">
        <v>27</v>
      </c>
      <c r="I55" s="718"/>
      <c r="J55" s="717" t="s">
        <v>18</v>
      </c>
      <c r="K55" s="718"/>
    </row>
    <row r="56" spans="1:17" ht="15" hidden="1" customHeight="1" x14ac:dyDescent="0.25">
      <c r="A56" s="736" t="s">
        <v>228</v>
      </c>
      <c r="B56" s="737" t="s">
        <v>229</v>
      </c>
      <c r="C56" s="737"/>
      <c r="D56" s="737" t="s">
        <v>230</v>
      </c>
      <c r="E56" s="737"/>
      <c r="F56" s="427" t="s">
        <v>231</v>
      </c>
      <c r="G56" s="427"/>
      <c r="H56" s="427" t="s">
        <v>232</v>
      </c>
      <c r="I56" s="427"/>
      <c r="J56" s="427" t="s">
        <v>233</v>
      </c>
      <c r="K56" s="427"/>
    </row>
    <row r="57" spans="1:17" ht="15" hidden="1" customHeight="1" x14ac:dyDescent="0.25">
      <c r="A57" s="736"/>
      <c r="B57" s="737" t="s">
        <v>234</v>
      </c>
      <c r="C57" s="737"/>
      <c r="D57" s="737" t="s">
        <v>235</v>
      </c>
      <c r="E57" s="737"/>
      <c r="F57" s="427" t="s">
        <v>236</v>
      </c>
      <c r="G57" s="427"/>
      <c r="H57" s="427" t="s">
        <v>237</v>
      </c>
      <c r="I57" s="427"/>
      <c r="J57" s="427" t="s">
        <v>238</v>
      </c>
      <c r="K57" s="427"/>
    </row>
    <row r="58" spans="1:17" ht="15" hidden="1" customHeight="1" x14ac:dyDescent="0.25">
      <c r="A58" s="736"/>
      <c r="B58" s="737" t="s">
        <v>239</v>
      </c>
      <c r="C58" s="737"/>
      <c r="D58" s="737" t="s">
        <v>240</v>
      </c>
      <c r="E58" s="737"/>
      <c r="F58" s="427" t="s">
        <v>241</v>
      </c>
      <c r="G58" s="427"/>
      <c r="H58" s="427"/>
      <c r="I58" s="427"/>
      <c r="J58" s="427" t="s">
        <v>242</v>
      </c>
      <c r="K58" s="427"/>
    </row>
    <row r="59" spans="1:17" ht="15" hidden="1" customHeight="1" x14ac:dyDescent="0.25">
      <c r="A59" s="736"/>
      <c r="B59" s="737" t="s">
        <v>243</v>
      </c>
      <c r="C59" s="737"/>
      <c r="D59" s="737" t="s">
        <v>244</v>
      </c>
      <c r="E59" s="737"/>
      <c r="F59" s="427" t="s">
        <v>245</v>
      </c>
      <c r="G59" s="427"/>
      <c r="H59" s="427"/>
      <c r="I59" s="427"/>
      <c r="J59" s="427"/>
      <c r="K59" s="427"/>
    </row>
    <row r="60" spans="1:17" ht="15" hidden="1" customHeight="1" x14ac:dyDescent="0.25">
      <c r="A60" s="736"/>
      <c r="B60" s="737" t="s">
        <v>246</v>
      </c>
      <c r="C60" s="737"/>
      <c r="D60" s="737" t="s">
        <v>247</v>
      </c>
      <c r="E60" s="737"/>
      <c r="F60" s="427" t="s">
        <v>248</v>
      </c>
      <c r="G60" s="427"/>
      <c r="H60" s="427"/>
      <c r="I60" s="427"/>
      <c r="J60" s="427"/>
      <c r="K60" s="427"/>
    </row>
    <row r="61" spans="1:17" ht="15" hidden="1" customHeight="1" x14ac:dyDescent="0.25">
      <c r="A61" s="736"/>
      <c r="B61" s="737" t="s">
        <v>249</v>
      </c>
      <c r="C61" s="737"/>
      <c r="D61" s="737"/>
      <c r="E61" s="737"/>
      <c r="F61" s="427"/>
      <c r="G61" s="427"/>
      <c r="H61" s="427"/>
      <c r="I61" s="427"/>
      <c r="J61" s="427"/>
      <c r="K61" s="427"/>
    </row>
    <row r="62" spans="1:17" ht="30" hidden="1" customHeight="1" x14ac:dyDescent="0.25">
      <c r="A62" s="428" t="s">
        <v>250</v>
      </c>
      <c r="B62" s="737">
        <v>6</v>
      </c>
      <c r="C62" s="737"/>
      <c r="D62" s="737">
        <v>5</v>
      </c>
      <c r="E62" s="737"/>
      <c r="F62" s="738">
        <v>5</v>
      </c>
      <c r="G62" s="738"/>
      <c r="H62" s="738">
        <v>2</v>
      </c>
      <c r="I62" s="738"/>
      <c r="J62" s="738">
        <v>3</v>
      </c>
      <c r="K62" s="738"/>
    </row>
    <row r="63" spans="1:17" hidden="1" x14ac:dyDescent="0.25">
      <c r="A63" s="429"/>
      <c r="B63" s="430"/>
      <c r="C63" s="429"/>
      <c r="D63" s="429"/>
      <c r="E63" s="429"/>
      <c r="L63" s="337"/>
    </row>
    <row r="64" spans="1:17" x14ac:dyDescent="0.25">
      <c r="A64" s="391" t="s">
        <v>251</v>
      </c>
      <c r="B64" s="392"/>
      <c r="C64" s="392"/>
      <c r="D64" s="392"/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</row>
    <row r="65" spans="1:18" s="392" customFormat="1" ht="25.5" x14ac:dyDescent="0.2">
      <c r="A65" s="417" t="s">
        <v>219</v>
      </c>
      <c r="B65" s="431" t="s">
        <v>220</v>
      </c>
      <c r="C65" s="431" t="s">
        <v>221</v>
      </c>
      <c r="D65" s="415" t="s">
        <v>18</v>
      </c>
      <c r="E65" s="415" t="s">
        <v>413</v>
      </c>
      <c r="F65" s="415" t="s">
        <v>20</v>
      </c>
      <c r="G65" s="415" t="s">
        <v>21</v>
      </c>
      <c r="H65" s="415" t="s">
        <v>22</v>
      </c>
      <c r="I65" s="415" t="s">
        <v>23</v>
      </c>
      <c r="J65" s="415" t="s">
        <v>27</v>
      </c>
      <c r="K65" s="415" t="s">
        <v>414</v>
      </c>
      <c r="L65" s="416" t="s">
        <v>30</v>
      </c>
      <c r="M65" s="415" t="s">
        <v>415</v>
      </c>
      <c r="N65" s="415" t="s">
        <v>32</v>
      </c>
      <c r="O65" s="415" t="s">
        <v>33</v>
      </c>
      <c r="P65" s="415" t="s">
        <v>416</v>
      </c>
      <c r="Q65" s="415" t="s">
        <v>261</v>
      </c>
    </row>
    <row r="66" spans="1:18" s="392" customFormat="1" x14ac:dyDescent="0.25">
      <c r="A66" s="417">
        <v>2020</v>
      </c>
      <c r="B66" s="446">
        <f>D35</f>
        <v>1.0418091980235651</v>
      </c>
      <c r="C66" s="433">
        <f>1180*B66</f>
        <v>1229.3348536678068</v>
      </c>
      <c r="D66" s="447">
        <f>$C$66/14</f>
        <v>87.809632404843342</v>
      </c>
      <c r="E66" s="447">
        <f t="shared" ref="E66:Q66" si="8">$C$66/14</f>
        <v>87.809632404843342</v>
      </c>
      <c r="F66" s="447">
        <f t="shared" si="8"/>
        <v>87.809632404843342</v>
      </c>
      <c r="G66" s="447">
        <f t="shared" si="8"/>
        <v>87.809632404843342</v>
      </c>
      <c r="H66" s="447">
        <f t="shared" si="8"/>
        <v>87.809632404843342</v>
      </c>
      <c r="I66" s="447">
        <f t="shared" si="8"/>
        <v>87.809632404843342</v>
      </c>
      <c r="J66" s="447">
        <f t="shared" si="8"/>
        <v>87.809632404843342</v>
      </c>
      <c r="K66" s="447">
        <f t="shared" si="8"/>
        <v>87.809632404843342</v>
      </c>
      <c r="L66" s="447">
        <f t="shared" si="8"/>
        <v>87.809632404843342</v>
      </c>
      <c r="M66" s="447">
        <f t="shared" si="8"/>
        <v>87.809632404843342</v>
      </c>
      <c r="N66" s="447">
        <f t="shared" si="8"/>
        <v>87.809632404843342</v>
      </c>
      <c r="O66" s="447">
        <f t="shared" si="8"/>
        <v>87.809632404843342</v>
      </c>
      <c r="P66" s="447">
        <f t="shared" si="8"/>
        <v>87.809632404843342</v>
      </c>
      <c r="Q66" s="447">
        <f t="shared" si="8"/>
        <v>87.809632404843342</v>
      </c>
    </row>
    <row r="67" spans="1:18" s="392" customFormat="1" x14ac:dyDescent="0.25">
      <c r="A67" s="417">
        <v>2019</v>
      </c>
      <c r="B67" s="432">
        <f>2694/2631</f>
        <v>1.0239452679589509</v>
      </c>
      <c r="C67" s="433">
        <f>1180*B67</f>
        <v>1208.2554161915621</v>
      </c>
      <c r="D67" s="434">
        <f>$C$67/14</f>
        <v>86.303958299397294</v>
      </c>
      <c r="E67" s="434">
        <f t="shared" ref="E67:Q67" si="9">$C$67/14</f>
        <v>86.303958299397294</v>
      </c>
      <c r="F67" s="434">
        <f t="shared" si="9"/>
        <v>86.303958299397294</v>
      </c>
      <c r="G67" s="434">
        <f t="shared" si="9"/>
        <v>86.303958299397294</v>
      </c>
      <c r="H67" s="434">
        <f t="shared" si="9"/>
        <v>86.303958299397294</v>
      </c>
      <c r="I67" s="434">
        <f t="shared" si="9"/>
        <v>86.303958299397294</v>
      </c>
      <c r="J67" s="434">
        <f t="shared" si="9"/>
        <v>86.303958299397294</v>
      </c>
      <c r="K67" s="434">
        <f t="shared" si="9"/>
        <v>86.303958299397294</v>
      </c>
      <c r="L67" s="434">
        <f t="shared" si="9"/>
        <v>86.303958299397294</v>
      </c>
      <c r="M67" s="434">
        <f t="shared" si="9"/>
        <v>86.303958299397294</v>
      </c>
      <c r="N67" s="434">
        <f t="shared" si="9"/>
        <v>86.303958299397294</v>
      </c>
      <c r="O67" s="434">
        <f t="shared" si="9"/>
        <v>86.303958299397294</v>
      </c>
      <c r="P67" s="434">
        <f t="shared" si="9"/>
        <v>86.303958299397294</v>
      </c>
      <c r="Q67" s="434">
        <f t="shared" si="9"/>
        <v>86.303958299397294</v>
      </c>
    </row>
    <row r="68" spans="1:18" x14ac:dyDescent="0.25">
      <c r="A68" s="435">
        <v>2018</v>
      </c>
      <c r="B68" s="436" t="s">
        <v>156</v>
      </c>
      <c r="C68" s="437">
        <f>1180-1180*35/100</f>
        <v>767</v>
      </c>
      <c r="D68" s="438">
        <f>$C$68/14</f>
        <v>54.785714285714285</v>
      </c>
      <c r="E68" s="438">
        <f t="shared" ref="E68:Q68" si="10">$C$68/14</f>
        <v>54.785714285714285</v>
      </c>
      <c r="F68" s="438">
        <f t="shared" si="10"/>
        <v>54.785714285714285</v>
      </c>
      <c r="G68" s="438">
        <f t="shared" si="10"/>
        <v>54.785714285714285</v>
      </c>
      <c r="H68" s="438">
        <f t="shared" si="10"/>
        <v>54.785714285714285</v>
      </c>
      <c r="I68" s="439">
        <v>0</v>
      </c>
      <c r="J68" s="438">
        <f t="shared" si="10"/>
        <v>54.785714285714285</v>
      </c>
      <c r="K68" s="438">
        <f t="shared" si="10"/>
        <v>54.785714285714285</v>
      </c>
      <c r="L68" s="438">
        <f t="shared" si="10"/>
        <v>54.785714285714285</v>
      </c>
      <c r="M68" s="438">
        <f t="shared" si="10"/>
        <v>54.785714285714285</v>
      </c>
      <c r="N68" s="438">
        <f t="shared" si="10"/>
        <v>54.785714285714285</v>
      </c>
      <c r="O68" s="438">
        <f t="shared" si="10"/>
        <v>54.785714285714285</v>
      </c>
      <c r="P68" s="438">
        <f t="shared" si="10"/>
        <v>54.785714285714285</v>
      </c>
      <c r="Q68" s="438">
        <f t="shared" si="10"/>
        <v>54.785714285714285</v>
      </c>
      <c r="R68" s="342"/>
    </row>
    <row r="69" spans="1:18" s="405" customFormat="1" x14ac:dyDescent="0.25">
      <c r="A69" s="435">
        <v>2017</v>
      </c>
      <c r="B69" s="440">
        <f>(2570/2458)</f>
        <v>1.0455655004068349</v>
      </c>
      <c r="C69" s="439">
        <f>C72*B69</f>
        <v>1182.5345809601304</v>
      </c>
      <c r="D69" s="441">
        <f t="shared" ref="D69:Q69" si="11">$C$37/11</f>
        <v>0</v>
      </c>
      <c r="E69" s="439">
        <v>0</v>
      </c>
      <c r="F69" s="439">
        <v>0</v>
      </c>
      <c r="G69" s="441">
        <f>$C$69/11</f>
        <v>107.50314372364822</v>
      </c>
      <c r="H69" s="441">
        <f t="shared" si="11"/>
        <v>0</v>
      </c>
      <c r="I69" s="439">
        <v>0</v>
      </c>
      <c r="J69" s="441">
        <f t="shared" si="11"/>
        <v>0</v>
      </c>
      <c r="K69" s="441">
        <f t="shared" si="11"/>
        <v>0</v>
      </c>
      <c r="L69" s="441">
        <f t="shared" si="11"/>
        <v>0</v>
      </c>
      <c r="M69" s="441">
        <f t="shared" si="11"/>
        <v>0</v>
      </c>
      <c r="N69" s="441">
        <f t="shared" si="11"/>
        <v>0</v>
      </c>
      <c r="O69" s="441">
        <f t="shared" si="11"/>
        <v>0</v>
      </c>
      <c r="P69" s="441">
        <v>0</v>
      </c>
      <c r="Q69" s="441">
        <f t="shared" si="11"/>
        <v>0</v>
      </c>
    </row>
    <row r="70" spans="1:18" x14ac:dyDescent="0.25">
      <c r="A70" s="417">
        <v>2016</v>
      </c>
      <c r="B70" s="418">
        <v>1.02685</v>
      </c>
      <c r="C70" s="420">
        <f>B70*C72</f>
        <v>1161.36735</v>
      </c>
      <c r="D70" s="420">
        <f t="shared" ref="D70:Q72" si="12">$C70/11</f>
        <v>105.57885</v>
      </c>
      <c r="E70" s="439">
        <v>0</v>
      </c>
      <c r="F70" s="439">
        <v>0</v>
      </c>
      <c r="G70" s="420">
        <f t="shared" ref="G70:H72" si="13">$C70/11</f>
        <v>105.57885</v>
      </c>
      <c r="H70" s="420">
        <f t="shared" si="13"/>
        <v>105.57885</v>
      </c>
      <c r="I70" s="439">
        <v>0</v>
      </c>
      <c r="J70" s="420">
        <f t="shared" si="12"/>
        <v>105.57885</v>
      </c>
      <c r="K70" s="420">
        <f t="shared" si="12"/>
        <v>105.57885</v>
      </c>
      <c r="L70" s="420">
        <f t="shared" si="12"/>
        <v>105.57885</v>
      </c>
      <c r="M70" s="420">
        <f t="shared" si="12"/>
        <v>105.57885</v>
      </c>
      <c r="N70" s="420">
        <f t="shared" si="12"/>
        <v>105.57885</v>
      </c>
      <c r="O70" s="420">
        <f t="shared" si="12"/>
        <v>105.57885</v>
      </c>
      <c r="P70" s="420">
        <v>0</v>
      </c>
      <c r="Q70" s="420">
        <f t="shared" si="12"/>
        <v>105.57885</v>
      </c>
    </row>
    <row r="71" spans="1:18" x14ac:dyDescent="0.25">
      <c r="A71" s="417">
        <v>2015</v>
      </c>
      <c r="B71" s="422">
        <v>0.996</v>
      </c>
      <c r="C71" s="420">
        <f>B71*C72</f>
        <v>1126.4759999999999</v>
      </c>
      <c r="D71" s="420">
        <f t="shared" si="12"/>
        <v>102.40690909090908</v>
      </c>
      <c r="E71" s="439">
        <v>0</v>
      </c>
      <c r="F71" s="439">
        <v>0</v>
      </c>
      <c r="G71" s="420">
        <f t="shared" si="13"/>
        <v>102.40690909090908</v>
      </c>
      <c r="H71" s="420">
        <f t="shared" si="13"/>
        <v>102.40690909090908</v>
      </c>
      <c r="I71" s="439">
        <v>0</v>
      </c>
      <c r="J71" s="420">
        <f t="shared" si="12"/>
        <v>102.40690909090908</v>
      </c>
      <c r="K71" s="420">
        <f t="shared" si="12"/>
        <v>102.40690909090908</v>
      </c>
      <c r="L71" s="420">
        <f t="shared" si="12"/>
        <v>102.40690909090908</v>
      </c>
      <c r="M71" s="420">
        <f t="shared" si="12"/>
        <v>102.40690909090908</v>
      </c>
      <c r="N71" s="420">
        <f t="shared" si="12"/>
        <v>102.40690909090908</v>
      </c>
      <c r="O71" s="420">
        <f t="shared" si="12"/>
        <v>102.40690909090908</v>
      </c>
      <c r="P71" s="420">
        <v>0</v>
      </c>
      <c r="Q71" s="420">
        <f t="shared" si="12"/>
        <v>102.40690909090908</v>
      </c>
    </row>
    <row r="72" spans="1:18" x14ac:dyDescent="0.25">
      <c r="A72" s="417">
        <v>2014</v>
      </c>
      <c r="B72" s="442" t="s">
        <v>156</v>
      </c>
      <c r="C72" s="420">
        <v>1131</v>
      </c>
      <c r="D72" s="420">
        <f t="shared" si="12"/>
        <v>102.81818181818181</v>
      </c>
      <c r="E72" s="439">
        <v>0</v>
      </c>
      <c r="F72" s="439">
        <v>0</v>
      </c>
      <c r="G72" s="420">
        <f t="shared" si="13"/>
        <v>102.81818181818181</v>
      </c>
      <c r="H72" s="420">
        <f t="shared" si="13"/>
        <v>102.81818181818181</v>
      </c>
      <c r="I72" s="439">
        <v>0</v>
      </c>
      <c r="J72" s="420">
        <f t="shared" si="12"/>
        <v>102.81818181818181</v>
      </c>
      <c r="K72" s="420">
        <f t="shared" si="12"/>
        <v>102.81818181818181</v>
      </c>
      <c r="L72" s="420">
        <f t="shared" si="12"/>
        <v>102.81818181818181</v>
      </c>
      <c r="M72" s="420">
        <f t="shared" si="12"/>
        <v>102.81818181818181</v>
      </c>
      <c r="N72" s="420">
        <f t="shared" si="12"/>
        <v>102.81818181818181</v>
      </c>
      <c r="O72" s="420">
        <f t="shared" si="12"/>
        <v>102.81818181818181</v>
      </c>
      <c r="P72" s="420">
        <v>0</v>
      </c>
      <c r="Q72" s="420">
        <f t="shared" si="12"/>
        <v>102.81818181818181</v>
      </c>
    </row>
    <row r="73" spans="1:18" x14ac:dyDescent="0.25">
      <c r="B73" s="336"/>
      <c r="C73" s="336"/>
      <c r="D73" s="336"/>
      <c r="E73" s="336"/>
    </row>
    <row r="74" spans="1:18" x14ac:dyDescent="0.25">
      <c r="A74" s="391" t="s">
        <v>252</v>
      </c>
      <c r="B74" s="392"/>
      <c r="C74" s="392"/>
      <c r="D74" s="392"/>
      <c r="E74" s="392"/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</row>
    <row r="75" spans="1:18" s="392" customFormat="1" ht="25.5" x14ac:dyDescent="0.2">
      <c r="A75" s="417" t="s">
        <v>219</v>
      </c>
      <c r="B75" s="431" t="s">
        <v>220</v>
      </c>
      <c r="C75" s="431" t="s">
        <v>221</v>
      </c>
      <c r="D75" s="415" t="s">
        <v>18</v>
      </c>
      <c r="E75" s="415" t="s">
        <v>413</v>
      </c>
      <c r="F75" s="415" t="s">
        <v>20</v>
      </c>
      <c r="G75" s="415" t="s">
        <v>21</v>
      </c>
      <c r="H75" s="415" t="s">
        <v>22</v>
      </c>
      <c r="I75" s="415" t="s">
        <v>23</v>
      </c>
      <c r="J75" s="415" t="s">
        <v>27</v>
      </c>
      <c r="K75" s="415" t="s">
        <v>414</v>
      </c>
      <c r="L75" s="416" t="s">
        <v>30</v>
      </c>
      <c r="M75" s="415" t="s">
        <v>415</v>
      </c>
      <c r="N75" s="415" t="s">
        <v>32</v>
      </c>
      <c r="O75" s="415" t="s">
        <v>33</v>
      </c>
      <c r="P75" s="415" t="s">
        <v>416</v>
      </c>
      <c r="Q75" s="415" t="s">
        <v>261</v>
      </c>
    </row>
    <row r="76" spans="1:18" s="392" customFormat="1" x14ac:dyDescent="0.25">
      <c r="A76" s="417">
        <v>2020</v>
      </c>
      <c r="B76" s="446">
        <f>D35</f>
        <v>1.0418091980235651</v>
      </c>
      <c r="C76" s="431"/>
      <c r="D76" s="434">
        <f>3293*B76</f>
        <v>3430.6776890915999</v>
      </c>
      <c r="E76" s="415"/>
      <c r="F76" s="415"/>
      <c r="G76" s="434">
        <f>G78*B76</f>
        <v>3430.6776890915999</v>
      </c>
      <c r="H76" s="415"/>
      <c r="I76" s="415"/>
      <c r="J76" s="415"/>
      <c r="K76" s="415"/>
      <c r="L76" s="416"/>
      <c r="M76" s="415"/>
      <c r="N76" s="415"/>
      <c r="O76" s="415"/>
      <c r="P76" s="415"/>
      <c r="Q76" s="434">
        <f>Q78*B76</f>
        <v>25234.702394526794</v>
      </c>
    </row>
    <row r="77" spans="1:18" s="392" customFormat="1" x14ac:dyDescent="0.25">
      <c r="A77" s="417">
        <v>2019</v>
      </c>
      <c r="B77" s="432">
        <f>2694/2631</f>
        <v>1.0239452679589509</v>
      </c>
      <c r="C77" s="433"/>
      <c r="D77" s="434">
        <v>3372</v>
      </c>
      <c r="E77" s="434"/>
      <c r="F77" s="434"/>
      <c r="G77" s="434">
        <v>3372</v>
      </c>
      <c r="H77" s="434"/>
      <c r="I77" s="434"/>
      <c r="J77" s="434"/>
      <c r="K77" s="434"/>
      <c r="L77" s="434"/>
      <c r="M77" s="434"/>
      <c r="N77" s="434"/>
      <c r="O77" s="434"/>
      <c r="P77" s="434"/>
      <c r="Q77" s="434">
        <v>24802</v>
      </c>
    </row>
    <row r="78" spans="1:18" x14ac:dyDescent="0.25">
      <c r="A78" s="435">
        <v>2018</v>
      </c>
      <c r="B78" s="436" t="s">
        <v>156</v>
      </c>
      <c r="C78" s="437"/>
      <c r="D78" s="438">
        <v>3293</v>
      </c>
      <c r="E78" s="438"/>
      <c r="F78" s="438"/>
      <c r="G78" s="438">
        <v>3293</v>
      </c>
      <c r="H78" s="438"/>
      <c r="I78" s="439"/>
      <c r="J78" s="438"/>
      <c r="K78" s="438"/>
      <c r="L78" s="438"/>
      <c r="M78" s="438"/>
      <c r="N78" s="438"/>
      <c r="O78" s="438"/>
      <c r="P78" s="438"/>
      <c r="Q78" s="438">
        <v>24222</v>
      </c>
      <c r="R78" s="342"/>
    </row>
    <row r="79" spans="1:18" s="405" customFormat="1" x14ac:dyDescent="0.25">
      <c r="A79" s="435">
        <v>2017</v>
      </c>
      <c r="B79" s="440">
        <f>(2570/2458)</f>
        <v>1.0455655004068349</v>
      </c>
      <c r="C79" s="433">
        <f>B79*C82</f>
        <v>3659.4792514239221</v>
      </c>
      <c r="D79" s="420">
        <f t="shared" ref="D79:D81" si="14">C79</f>
        <v>3659.4792514239221</v>
      </c>
      <c r="E79" s="439"/>
      <c r="F79" s="439"/>
      <c r="G79" s="439">
        <f>C79</f>
        <v>3659.4792514239221</v>
      </c>
      <c r="H79" s="441"/>
      <c r="I79" s="439"/>
      <c r="J79" s="441"/>
      <c r="K79" s="441"/>
      <c r="L79" s="441"/>
      <c r="M79" s="441"/>
      <c r="N79" s="441"/>
      <c r="O79" s="441"/>
      <c r="P79" s="441"/>
      <c r="Q79" s="441"/>
    </row>
    <row r="80" spans="1:18" x14ac:dyDescent="0.25">
      <c r="A80" s="417">
        <v>2016</v>
      </c>
      <c r="B80" s="418">
        <v>1.02685</v>
      </c>
      <c r="C80" s="420">
        <f>B80*C82</f>
        <v>3593.9750000000004</v>
      </c>
      <c r="D80" s="420">
        <f t="shared" si="14"/>
        <v>3593.9750000000004</v>
      </c>
      <c r="E80" s="439"/>
      <c r="F80" s="439"/>
      <c r="G80" s="439">
        <f>C80</f>
        <v>3593.9750000000004</v>
      </c>
      <c r="H80" s="420"/>
      <c r="I80" s="439"/>
      <c r="J80" s="420"/>
      <c r="K80" s="420"/>
      <c r="L80" s="420"/>
      <c r="M80" s="420"/>
      <c r="N80" s="420"/>
      <c r="O80" s="420"/>
      <c r="P80" s="420"/>
      <c r="Q80" s="420"/>
    </row>
    <row r="81" spans="1:18" x14ac:dyDescent="0.25">
      <c r="A81" s="417">
        <v>2015</v>
      </c>
      <c r="B81" s="422">
        <v>0.996</v>
      </c>
      <c r="C81" s="420">
        <f>B81*C82</f>
        <v>3486</v>
      </c>
      <c r="D81" s="420">
        <f t="shared" si="14"/>
        <v>3486</v>
      </c>
      <c r="E81" s="439"/>
      <c r="F81" s="439"/>
      <c r="G81" s="439">
        <f>C81</f>
        <v>3486</v>
      </c>
      <c r="H81" s="420"/>
      <c r="I81" s="439"/>
      <c r="J81" s="420"/>
      <c r="K81" s="420"/>
      <c r="L81" s="420"/>
      <c r="M81" s="420"/>
      <c r="N81" s="420"/>
      <c r="O81" s="420"/>
      <c r="P81" s="420"/>
      <c r="Q81" s="420"/>
    </row>
    <row r="82" spans="1:18" x14ac:dyDescent="0.25">
      <c r="A82" s="417">
        <v>2014</v>
      </c>
      <c r="B82" s="442" t="s">
        <v>156</v>
      </c>
      <c r="C82" s="420">
        <v>3500</v>
      </c>
      <c r="D82" s="420">
        <f>C82</f>
        <v>3500</v>
      </c>
      <c r="E82" s="439"/>
      <c r="F82" s="439"/>
      <c r="G82" s="439">
        <f>C82</f>
        <v>3500</v>
      </c>
      <c r="H82" s="420"/>
      <c r="I82" s="439"/>
      <c r="J82" s="420"/>
      <c r="K82" s="420"/>
      <c r="L82" s="420"/>
      <c r="M82" s="420"/>
      <c r="N82" s="420"/>
      <c r="O82" s="420"/>
      <c r="P82" s="420"/>
      <c r="Q82" s="420"/>
    </row>
    <row r="83" spans="1:18" x14ac:dyDescent="0.25">
      <c r="A83" s="424"/>
      <c r="B83" s="443"/>
      <c r="C83" s="444"/>
      <c r="D83" s="444"/>
      <c r="E83" s="445"/>
      <c r="F83" s="445"/>
      <c r="G83" s="444"/>
      <c r="H83" s="444"/>
      <c r="I83" s="445"/>
      <c r="J83" s="444"/>
      <c r="K83" s="444"/>
      <c r="L83" s="444"/>
      <c r="M83" s="444"/>
      <c r="N83" s="444"/>
      <c r="O83" s="444"/>
      <c r="P83" s="444"/>
      <c r="Q83" s="444"/>
    </row>
    <row r="84" spans="1:18" s="392" customFormat="1" ht="25.5" x14ac:dyDescent="0.2">
      <c r="A84" s="417" t="s">
        <v>219</v>
      </c>
      <c r="B84" s="431" t="s">
        <v>220</v>
      </c>
      <c r="C84" s="431" t="s">
        <v>221</v>
      </c>
      <c r="D84" s="415" t="s">
        <v>18</v>
      </c>
      <c r="E84" s="415" t="s">
        <v>413</v>
      </c>
      <c r="F84" s="415" t="s">
        <v>20</v>
      </c>
      <c r="G84" s="415" t="s">
        <v>21</v>
      </c>
      <c r="H84" s="415" t="s">
        <v>22</v>
      </c>
      <c r="I84" s="415" t="s">
        <v>23</v>
      </c>
      <c r="J84" s="415" t="s">
        <v>27</v>
      </c>
      <c r="K84" s="415" t="s">
        <v>414</v>
      </c>
      <c r="L84" s="416" t="s">
        <v>30</v>
      </c>
      <c r="M84" s="415" t="s">
        <v>415</v>
      </c>
      <c r="N84" s="415" t="s">
        <v>32</v>
      </c>
      <c r="O84" s="415" t="s">
        <v>33</v>
      </c>
      <c r="P84" s="415" t="s">
        <v>416</v>
      </c>
      <c r="Q84" s="415" t="s">
        <v>261</v>
      </c>
    </row>
    <row r="85" spans="1:18" s="392" customFormat="1" x14ac:dyDescent="0.25">
      <c r="A85" s="417">
        <v>2020</v>
      </c>
      <c r="B85" s="446">
        <f>D35</f>
        <v>1.0418091980235651</v>
      </c>
      <c r="C85" s="433">
        <f>C87*B85</f>
        <v>927.21018624097292</v>
      </c>
      <c r="D85" s="447"/>
      <c r="E85" s="447"/>
      <c r="F85" s="447"/>
      <c r="G85" s="447">
        <f>C85</f>
        <v>927.21018624097292</v>
      </c>
      <c r="H85" s="447"/>
      <c r="I85" s="447"/>
      <c r="J85" s="447"/>
      <c r="K85" s="447"/>
      <c r="L85" s="447"/>
      <c r="M85" s="447"/>
      <c r="N85" s="447">
        <f>C85</f>
        <v>927.21018624097292</v>
      </c>
      <c r="O85" s="447"/>
      <c r="P85" s="447"/>
      <c r="Q85" s="447"/>
    </row>
    <row r="86" spans="1:18" s="392" customFormat="1" x14ac:dyDescent="0.25">
      <c r="A86" s="417">
        <v>2019</v>
      </c>
      <c r="B86" s="432">
        <f>2694/2631</f>
        <v>1.0239452679589509</v>
      </c>
      <c r="C86" s="433">
        <f>C87*B86</f>
        <v>911.31128848346634</v>
      </c>
      <c r="D86" s="434"/>
      <c r="E86" s="434"/>
      <c r="F86" s="434"/>
      <c r="G86" s="434">
        <f>C86</f>
        <v>911.31128848346634</v>
      </c>
      <c r="H86" s="434"/>
      <c r="I86" s="434"/>
      <c r="J86" s="434"/>
      <c r="K86" s="434"/>
      <c r="L86" s="434"/>
      <c r="M86" s="434"/>
      <c r="N86" s="434">
        <f>C86</f>
        <v>911.31128848346634</v>
      </c>
      <c r="O86" s="434"/>
      <c r="P86" s="434"/>
      <c r="Q86" s="434"/>
    </row>
    <row r="87" spans="1:18" x14ac:dyDescent="0.25">
      <c r="A87" s="435">
        <v>2018</v>
      </c>
      <c r="B87" s="436" t="s">
        <v>156</v>
      </c>
      <c r="C87" s="433">
        <v>890</v>
      </c>
      <c r="D87" s="438"/>
      <c r="E87" s="438"/>
      <c r="F87" s="438"/>
      <c r="G87" s="434">
        <f t="shared" ref="G87:G91" si="15">C87</f>
        <v>890</v>
      </c>
      <c r="H87" s="438"/>
      <c r="I87" s="439"/>
      <c r="J87" s="438"/>
      <c r="K87" s="438"/>
      <c r="L87" s="438"/>
      <c r="M87" s="438"/>
      <c r="N87" s="434">
        <f t="shared" ref="N87:N91" si="16">C87</f>
        <v>890</v>
      </c>
      <c r="O87" s="438"/>
      <c r="P87" s="438"/>
      <c r="Q87" s="438"/>
      <c r="R87" s="342"/>
    </row>
    <row r="88" spans="1:18" s="405" customFormat="1" x14ac:dyDescent="0.25">
      <c r="A88" s="435">
        <v>2017</v>
      </c>
      <c r="B88" s="440">
        <f>(2570/2458)</f>
        <v>1.0455655004068349</v>
      </c>
      <c r="C88" s="433">
        <f>C91*B88</f>
        <v>888.73067534580969</v>
      </c>
      <c r="D88" s="420"/>
      <c r="E88" s="439"/>
      <c r="F88" s="439"/>
      <c r="G88" s="434">
        <f t="shared" si="15"/>
        <v>888.73067534580969</v>
      </c>
      <c r="H88" s="441"/>
      <c r="I88" s="439"/>
      <c r="J88" s="441"/>
      <c r="K88" s="441"/>
      <c r="L88" s="441"/>
      <c r="M88" s="441"/>
      <c r="N88" s="434">
        <f t="shared" si="16"/>
        <v>888.73067534580969</v>
      </c>
      <c r="O88" s="441"/>
      <c r="P88" s="441"/>
      <c r="Q88" s="441"/>
    </row>
    <row r="89" spans="1:18" x14ac:dyDescent="0.25">
      <c r="A89" s="417">
        <v>2016</v>
      </c>
      <c r="B89" s="418">
        <v>1.02685</v>
      </c>
      <c r="C89" s="420">
        <f>B89*C91</f>
        <v>872.82249999999999</v>
      </c>
      <c r="D89" s="420"/>
      <c r="E89" s="439"/>
      <c r="F89" s="439"/>
      <c r="G89" s="434">
        <f t="shared" si="15"/>
        <v>872.82249999999999</v>
      </c>
      <c r="H89" s="420"/>
      <c r="I89" s="439"/>
      <c r="J89" s="420"/>
      <c r="K89" s="420"/>
      <c r="L89" s="420"/>
      <c r="M89" s="420"/>
      <c r="N89" s="434">
        <f t="shared" si="16"/>
        <v>872.82249999999999</v>
      </c>
      <c r="O89" s="420"/>
      <c r="P89" s="420"/>
      <c r="Q89" s="420"/>
    </row>
    <row r="90" spans="1:18" x14ac:dyDescent="0.25">
      <c r="A90" s="417">
        <v>2015</v>
      </c>
      <c r="B90" s="422">
        <v>0.996</v>
      </c>
      <c r="C90" s="420">
        <f>B90*C91</f>
        <v>846.6</v>
      </c>
      <c r="D90" s="420"/>
      <c r="E90" s="439"/>
      <c r="F90" s="439"/>
      <c r="G90" s="434">
        <f t="shared" si="15"/>
        <v>846.6</v>
      </c>
      <c r="H90" s="420"/>
      <c r="I90" s="439"/>
      <c r="J90" s="420"/>
      <c r="K90" s="420"/>
      <c r="L90" s="420"/>
      <c r="M90" s="420"/>
      <c r="N90" s="434">
        <f t="shared" si="16"/>
        <v>846.6</v>
      </c>
      <c r="O90" s="420"/>
      <c r="P90" s="420"/>
      <c r="Q90" s="420"/>
    </row>
    <row r="91" spans="1:18" x14ac:dyDescent="0.25">
      <c r="A91" s="417">
        <v>2014</v>
      </c>
      <c r="B91" s="442" t="s">
        <v>156</v>
      </c>
      <c r="C91" s="420">
        <v>850</v>
      </c>
      <c r="D91" s="420"/>
      <c r="E91" s="439"/>
      <c r="F91" s="439"/>
      <c r="G91" s="433">
        <f t="shared" si="15"/>
        <v>850</v>
      </c>
      <c r="H91" s="420"/>
      <c r="I91" s="439"/>
      <c r="J91" s="420"/>
      <c r="K91" s="420"/>
      <c r="L91" s="420"/>
      <c r="M91" s="420"/>
      <c r="N91" s="433">
        <f t="shared" si="16"/>
        <v>850</v>
      </c>
      <c r="O91" s="420"/>
      <c r="P91" s="420"/>
      <c r="Q91" s="420"/>
    </row>
    <row r="92" spans="1:18" x14ac:dyDescent="0.25">
      <c r="A92" s="424"/>
      <c r="B92" s="443"/>
      <c r="C92" s="444"/>
      <c r="D92" s="444"/>
      <c r="E92" s="445"/>
      <c r="F92" s="445"/>
      <c r="G92" s="444"/>
      <c r="H92" s="444"/>
      <c r="I92" s="445"/>
      <c r="J92" s="444"/>
      <c r="K92" s="444"/>
      <c r="L92" s="444"/>
      <c r="M92" s="444"/>
      <c r="N92" s="444"/>
      <c r="O92" s="444"/>
      <c r="P92" s="444"/>
      <c r="Q92" s="444"/>
    </row>
  </sheetData>
  <mergeCells count="44">
    <mergeCell ref="B62:C62"/>
    <mergeCell ref="D62:E62"/>
    <mergeCell ref="F62:G62"/>
    <mergeCell ref="H62:I62"/>
    <mergeCell ref="J62:K62"/>
    <mergeCell ref="B54:E54"/>
    <mergeCell ref="B55:C55"/>
    <mergeCell ref="D55:E55"/>
    <mergeCell ref="A56:A61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38:C38"/>
    <mergeCell ref="A41:C41"/>
    <mergeCell ref="A42:C42"/>
    <mergeCell ref="A43:C43"/>
    <mergeCell ref="A52:B52"/>
    <mergeCell ref="A44:C44"/>
    <mergeCell ref="B32:C32"/>
    <mergeCell ref="B33:C33"/>
    <mergeCell ref="B34:C34"/>
    <mergeCell ref="B35:C35"/>
    <mergeCell ref="B37:D37"/>
    <mergeCell ref="A1:A3"/>
    <mergeCell ref="B1:F1"/>
    <mergeCell ref="B2:F2"/>
    <mergeCell ref="B30:D30"/>
    <mergeCell ref="B31:C31"/>
    <mergeCell ref="F55:G55"/>
    <mergeCell ref="H55:I55"/>
    <mergeCell ref="J55:K55"/>
    <mergeCell ref="L1:L3"/>
    <mergeCell ref="M1:Q1"/>
    <mergeCell ref="M2:Q2"/>
    <mergeCell ref="J3:J7"/>
  </mergeCells>
  <pageMargins left="0.7" right="0.7" top="0.75" bottom="0.75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R76"/>
  <sheetViews>
    <sheetView topLeftCell="A67" workbookViewId="0">
      <selection activeCell="D37" sqref="D37"/>
    </sheetView>
  </sheetViews>
  <sheetFormatPr baseColWidth="10" defaultColWidth="9.140625" defaultRowHeight="15" x14ac:dyDescent="0.25"/>
  <cols>
    <col min="1" max="1" width="20" style="336" customWidth="1"/>
    <col min="2" max="2" width="21" style="336" customWidth="1"/>
    <col min="3" max="3" width="15.7109375" style="336" customWidth="1"/>
    <col min="4" max="4" width="14" style="426" customWidth="1"/>
    <col min="5" max="6" width="9.140625" style="426"/>
    <col min="7" max="7" width="13.5703125" style="426" customWidth="1"/>
    <col min="8" max="8" width="10.42578125" style="336" bestFit="1" customWidth="1"/>
    <col min="9" max="9" width="11.7109375" style="336" customWidth="1"/>
    <col min="10" max="10" width="10.42578125" style="336" bestFit="1" customWidth="1"/>
    <col min="11" max="13" width="9.140625" style="336"/>
    <col min="14" max="16" width="9.140625" style="426"/>
    <col min="17" max="16384" width="9.140625" style="336"/>
  </cols>
  <sheetData>
    <row r="1" spans="1:16" ht="15" customHeight="1" x14ac:dyDescent="0.25">
      <c r="A1" s="722" t="s">
        <v>53</v>
      </c>
      <c r="B1" s="723" t="s">
        <v>253</v>
      </c>
      <c r="C1" s="723"/>
      <c r="D1" s="723"/>
      <c r="E1" s="459"/>
      <c r="F1" s="336"/>
      <c r="G1" s="336" t="s">
        <v>53</v>
      </c>
      <c r="H1" s="336" t="s">
        <v>254</v>
      </c>
      <c r="N1" s="336"/>
      <c r="O1" s="336"/>
      <c r="P1" s="336"/>
    </row>
    <row r="2" spans="1:16" x14ac:dyDescent="0.25">
      <c r="A2" s="722"/>
      <c r="B2" s="740" t="s">
        <v>444</v>
      </c>
      <c r="C2" s="740"/>
      <c r="D2" s="740"/>
      <c r="E2" s="459"/>
      <c r="F2" s="336"/>
      <c r="G2" s="336"/>
      <c r="H2" s="336">
        <v>2020</v>
      </c>
      <c r="N2" s="336"/>
      <c r="O2" s="336"/>
      <c r="P2" s="336"/>
    </row>
    <row r="3" spans="1:16" ht="60" x14ac:dyDescent="0.25">
      <c r="A3" s="722"/>
      <c r="B3" s="460" t="s">
        <v>159</v>
      </c>
      <c r="C3" s="461" t="s">
        <v>206</v>
      </c>
      <c r="D3" s="461" t="s">
        <v>207</v>
      </c>
      <c r="E3" s="462"/>
      <c r="F3" s="336"/>
      <c r="G3" s="336"/>
      <c r="H3" s="336" t="s">
        <v>200</v>
      </c>
      <c r="I3" s="336" t="s">
        <v>201</v>
      </c>
      <c r="J3" s="336" t="s">
        <v>202</v>
      </c>
      <c r="N3" s="336"/>
      <c r="O3" s="336"/>
      <c r="P3" s="336"/>
    </row>
    <row r="4" spans="1:16" x14ac:dyDescent="0.25">
      <c r="A4" s="346" t="s">
        <v>18</v>
      </c>
      <c r="B4" s="351">
        <f>C4+D4</f>
        <v>2032.8047740426905</v>
      </c>
      <c r="C4" s="348">
        <f>H4</f>
        <v>2032.8047740426905</v>
      </c>
      <c r="D4" s="349">
        <f>I44</f>
        <v>0</v>
      </c>
      <c r="E4" s="463"/>
      <c r="F4" s="336"/>
      <c r="G4" s="336" t="s">
        <v>18</v>
      </c>
      <c r="H4" s="464">
        <f>I4+J4</f>
        <v>2032.8047740426905</v>
      </c>
      <c r="I4" s="464">
        <f>'ANNEXE 1 Grille'!B2*($D$32*74/100)</f>
        <v>1129.5688667716918</v>
      </c>
      <c r="J4" s="465">
        <f>IF(I4&lt;&gt;0,$I$27/D$30,I4)</f>
        <v>903.23590727099872</v>
      </c>
      <c r="N4" s="336"/>
      <c r="O4" s="336"/>
      <c r="P4" s="336"/>
    </row>
    <row r="5" spans="1:16" x14ac:dyDescent="0.25">
      <c r="A5" s="346" t="s">
        <v>19</v>
      </c>
      <c r="B5" s="351">
        <f t="shared" ref="B5:B25" si="0">C5+D5</f>
        <v>0</v>
      </c>
      <c r="C5" s="348">
        <f t="shared" ref="C5:C22" si="1">H5</f>
        <v>0</v>
      </c>
      <c r="D5" s="349"/>
      <c r="E5" s="463"/>
      <c r="F5" s="336"/>
      <c r="G5" s="336" t="s">
        <v>19</v>
      </c>
      <c r="H5" s="464">
        <f t="shared" ref="H5:H24" si="2">I5+J5</f>
        <v>0</v>
      </c>
      <c r="I5" s="464"/>
      <c r="J5" s="465">
        <f t="shared" ref="J5:J24" si="3">IF(I5&lt;&gt;0,$I$27/D$30,I5)</f>
        <v>0</v>
      </c>
      <c r="N5" s="336"/>
      <c r="O5" s="336"/>
      <c r="P5" s="336"/>
    </row>
    <row r="6" spans="1:16" x14ac:dyDescent="0.25">
      <c r="A6" s="346" t="s">
        <v>20</v>
      </c>
      <c r="B6" s="351">
        <f t="shared" si="0"/>
        <v>0</v>
      </c>
      <c r="C6" s="348">
        <f t="shared" si="1"/>
        <v>0</v>
      </c>
      <c r="D6" s="349"/>
      <c r="E6" s="463"/>
      <c r="F6" s="336"/>
      <c r="G6" s="336" t="s">
        <v>145</v>
      </c>
      <c r="H6" s="464">
        <f t="shared" si="2"/>
        <v>0</v>
      </c>
      <c r="I6" s="464"/>
      <c r="J6" s="465">
        <f t="shared" si="3"/>
        <v>0</v>
      </c>
      <c r="N6" s="336"/>
      <c r="O6" s="336"/>
      <c r="P6" s="336"/>
    </row>
    <row r="7" spans="1:16" x14ac:dyDescent="0.25">
      <c r="A7" s="346" t="s">
        <v>21</v>
      </c>
      <c r="B7" s="351">
        <f t="shared" si="0"/>
        <v>4942.0236324027937</v>
      </c>
      <c r="C7" s="348">
        <f t="shared" si="1"/>
        <v>4942.0236324027937</v>
      </c>
      <c r="D7" s="349">
        <f>E44</f>
        <v>0</v>
      </c>
      <c r="E7" s="463"/>
      <c r="F7" s="336"/>
      <c r="G7" s="336" t="s">
        <v>21</v>
      </c>
      <c r="H7" s="464">
        <f>I7+J7</f>
        <v>4942.0236324027937</v>
      </c>
      <c r="I7" s="464">
        <f>'ANNEXE 1 Grille'!B5*($D$32*74/100)</f>
        <v>4038.787725131795</v>
      </c>
      <c r="J7" s="465">
        <f t="shared" si="3"/>
        <v>903.23590727099872</v>
      </c>
      <c r="N7" s="336"/>
      <c r="O7" s="336"/>
      <c r="P7" s="336"/>
    </row>
    <row r="8" spans="1:16" x14ac:dyDescent="0.25">
      <c r="A8" s="346" t="s">
        <v>22</v>
      </c>
      <c r="B8" s="351">
        <f t="shared" si="0"/>
        <v>2859.2389323496454</v>
      </c>
      <c r="C8" s="348">
        <f t="shared" si="1"/>
        <v>2859.2389323496454</v>
      </c>
      <c r="D8" s="349">
        <f>H44</f>
        <v>0</v>
      </c>
      <c r="E8" s="463"/>
      <c r="F8" s="336"/>
      <c r="G8" s="336" t="s">
        <v>22</v>
      </c>
      <c r="H8" s="464">
        <f t="shared" si="2"/>
        <v>2859.2389323496454</v>
      </c>
      <c r="I8" s="464">
        <f>'ANNEXE 1 Grille'!B6*($D$32*74/100)</f>
        <v>1956.0030250786467</v>
      </c>
      <c r="J8" s="465">
        <f t="shared" si="3"/>
        <v>903.23590727099872</v>
      </c>
      <c r="N8" s="336"/>
      <c r="O8" s="336"/>
      <c r="P8" s="336"/>
    </row>
    <row r="9" spans="1:16" x14ac:dyDescent="0.25">
      <c r="A9" s="346" t="s">
        <v>23</v>
      </c>
      <c r="B9" s="351">
        <f t="shared" si="0"/>
        <v>0</v>
      </c>
      <c r="C9" s="348">
        <f t="shared" si="1"/>
        <v>0</v>
      </c>
      <c r="D9" s="349"/>
      <c r="E9" s="463"/>
      <c r="F9" s="336"/>
      <c r="G9" s="336" t="s">
        <v>23</v>
      </c>
      <c r="H9" s="464">
        <f t="shared" si="2"/>
        <v>0</v>
      </c>
      <c r="I9" s="464"/>
      <c r="J9" s="465">
        <f t="shared" si="3"/>
        <v>0</v>
      </c>
      <c r="N9" s="336"/>
      <c r="O9" s="336"/>
      <c r="P9" s="336"/>
    </row>
    <row r="10" spans="1:16" x14ac:dyDescent="0.25">
      <c r="A10" s="346" t="s">
        <v>24</v>
      </c>
      <c r="B10" s="351">
        <f t="shared" si="0"/>
        <v>0</v>
      </c>
      <c r="C10" s="348">
        <f t="shared" si="1"/>
        <v>0</v>
      </c>
      <c r="D10" s="349"/>
      <c r="E10" s="463"/>
      <c r="F10" s="336"/>
      <c r="G10" s="336" t="s">
        <v>24</v>
      </c>
      <c r="H10" s="464">
        <f t="shared" si="2"/>
        <v>0</v>
      </c>
      <c r="I10" s="464"/>
      <c r="J10" s="465">
        <f t="shared" si="3"/>
        <v>0</v>
      </c>
      <c r="N10" s="336"/>
      <c r="O10" s="336"/>
      <c r="P10" s="336"/>
    </row>
    <row r="11" spans="1:16" x14ac:dyDescent="0.25">
      <c r="A11" s="346" t="s">
        <v>25</v>
      </c>
      <c r="B11" s="351">
        <f t="shared" si="0"/>
        <v>0</v>
      </c>
      <c r="C11" s="348">
        <f t="shared" si="1"/>
        <v>0</v>
      </c>
      <c r="D11" s="349"/>
      <c r="E11" s="463"/>
      <c r="F11" s="336"/>
      <c r="G11" s="336" t="s">
        <v>25</v>
      </c>
      <c r="H11" s="464">
        <f t="shared" si="2"/>
        <v>0</v>
      </c>
      <c r="I11" s="464"/>
      <c r="J11" s="465">
        <f t="shared" si="3"/>
        <v>0</v>
      </c>
      <c r="N11" s="336"/>
      <c r="O11" s="336"/>
      <c r="P11" s="336"/>
    </row>
    <row r="12" spans="1:16" x14ac:dyDescent="0.25">
      <c r="A12" s="346" t="s">
        <v>26</v>
      </c>
      <c r="B12" s="351">
        <f t="shared" si="0"/>
        <v>4719.8807049871311</v>
      </c>
      <c r="C12" s="348">
        <f t="shared" si="1"/>
        <v>4719.8807049871311</v>
      </c>
      <c r="D12" s="349">
        <f>F44</f>
        <v>0</v>
      </c>
      <c r="E12" s="463"/>
      <c r="F12" s="336"/>
      <c r="G12" s="336" t="s">
        <v>26</v>
      </c>
      <c r="H12" s="464">
        <f t="shared" si="2"/>
        <v>4719.8807049871311</v>
      </c>
      <c r="I12" s="464">
        <f>'ANNEXE 1 Grille'!B10*($D$32*74/100)</f>
        <v>3816.6447977161324</v>
      </c>
      <c r="J12" s="465">
        <f t="shared" si="3"/>
        <v>903.23590727099872</v>
      </c>
      <c r="N12" s="336"/>
      <c r="O12" s="336"/>
      <c r="P12" s="336"/>
    </row>
    <row r="13" spans="1:16" x14ac:dyDescent="0.25">
      <c r="A13" s="346" t="s">
        <v>27</v>
      </c>
      <c r="B13" s="351">
        <f t="shared" si="0"/>
        <v>2879.0833014185882</v>
      </c>
      <c r="C13" s="348">
        <f t="shared" si="1"/>
        <v>2879.0833014185882</v>
      </c>
      <c r="D13" s="349">
        <f>G44</f>
        <v>0</v>
      </c>
      <c r="E13" s="463"/>
      <c r="F13" s="336"/>
      <c r="G13" s="336" t="s">
        <v>27</v>
      </c>
      <c r="H13" s="464">
        <f t="shared" si="2"/>
        <v>2879.0833014185882</v>
      </c>
      <c r="I13" s="464">
        <f>'ANNEXE 1 Grille'!B11*($D$32*74/100)</f>
        <v>1975.8473941475893</v>
      </c>
      <c r="J13" s="465">
        <f t="shared" si="3"/>
        <v>903.23590727099872</v>
      </c>
      <c r="N13" s="336"/>
      <c r="O13" s="336"/>
      <c r="P13" s="336"/>
    </row>
    <row r="14" spans="1:16" x14ac:dyDescent="0.25">
      <c r="A14" s="346" t="s">
        <v>28</v>
      </c>
      <c r="B14" s="351">
        <f t="shared" si="0"/>
        <v>2648.817586693599</v>
      </c>
      <c r="C14" s="348">
        <f t="shared" si="1"/>
        <v>2648.817586693599</v>
      </c>
      <c r="D14" s="349">
        <f>J44</f>
        <v>0</v>
      </c>
      <c r="E14" s="463"/>
      <c r="F14" s="336"/>
      <c r="G14" s="336" t="s">
        <v>28</v>
      </c>
      <c r="H14" s="464">
        <f t="shared" si="2"/>
        <v>2648.817586693599</v>
      </c>
      <c r="I14" s="464">
        <f>'ANNEXE 1 Grille'!B12*($D$32*74/100)</f>
        <v>1745.5816794226</v>
      </c>
      <c r="J14" s="465">
        <f t="shared" si="3"/>
        <v>903.23590727099872</v>
      </c>
      <c r="N14" s="336"/>
      <c r="O14" s="336"/>
      <c r="P14" s="336"/>
    </row>
    <row r="15" spans="1:16" x14ac:dyDescent="0.25">
      <c r="A15" s="346" t="s">
        <v>29</v>
      </c>
      <c r="B15" s="351">
        <f t="shared" si="0"/>
        <v>0</v>
      </c>
      <c r="C15" s="348">
        <f t="shared" si="1"/>
        <v>0</v>
      </c>
      <c r="D15" s="349"/>
      <c r="E15" s="463"/>
      <c r="F15" s="336"/>
      <c r="G15" s="336" t="s">
        <v>29</v>
      </c>
      <c r="H15" s="464">
        <f t="shared" si="2"/>
        <v>0</v>
      </c>
      <c r="I15" s="464"/>
      <c r="J15" s="465">
        <f t="shared" si="3"/>
        <v>0</v>
      </c>
      <c r="N15" s="336"/>
      <c r="O15" s="336"/>
      <c r="P15" s="336"/>
    </row>
    <row r="16" spans="1:16" x14ac:dyDescent="0.25">
      <c r="A16" s="346" t="s">
        <v>30</v>
      </c>
      <c r="B16" s="351">
        <f t="shared" si="0"/>
        <v>0</v>
      </c>
      <c r="C16" s="348">
        <f t="shared" si="1"/>
        <v>0</v>
      </c>
      <c r="D16" s="349"/>
      <c r="E16" s="463"/>
      <c r="F16" s="336"/>
      <c r="G16" s="336" t="s">
        <v>30</v>
      </c>
      <c r="H16" s="464">
        <f t="shared" si="2"/>
        <v>0</v>
      </c>
      <c r="I16" s="464"/>
      <c r="J16" s="465">
        <f t="shared" si="3"/>
        <v>0</v>
      </c>
      <c r="N16" s="336"/>
      <c r="O16" s="336"/>
      <c r="P16" s="336"/>
    </row>
    <row r="17" spans="1:16" x14ac:dyDescent="0.25">
      <c r="A17" s="346" t="s">
        <v>31</v>
      </c>
      <c r="B17" s="351">
        <f t="shared" si="0"/>
        <v>3080.6082750388241</v>
      </c>
      <c r="C17" s="348">
        <f t="shared" si="1"/>
        <v>3080.6082750388241</v>
      </c>
      <c r="D17" s="349">
        <f>L44</f>
        <v>0</v>
      </c>
      <c r="E17" s="463"/>
      <c r="F17" s="336"/>
      <c r="G17" s="336" t="s">
        <v>31</v>
      </c>
      <c r="H17" s="464">
        <f t="shared" si="2"/>
        <v>3080.6082750388241</v>
      </c>
      <c r="I17" s="464">
        <f>'ANNEXE 1 Grille'!B15*($D$32*74/100)</f>
        <v>2177.3723677678254</v>
      </c>
      <c r="J17" s="465">
        <f t="shared" si="3"/>
        <v>903.23590727099872</v>
      </c>
      <c r="N17" s="336"/>
      <c r="O17" s="336"/>
      <c r="P17" s="336"/>
    </row>
    <row r="18" spans="1:16" x14ac:dyDescent="0.25">
      <c r="A18" s="346" t="s">
        <v>32</v>
      </c>
      <c r="B18" s="351">
        <f t="shared" si="0"/>
        <v>0</v>
      </c>
      <c r="C18" s="348">
        <f t="shared" si="1"/>
        <v>0</v>
      </c>
      <c r="D18" s="349"/>
      <c r="E18" s="463"/>
      <c r="F18" s="336"/>
      <c r="G18" s="336" t="s">
        <v>32</v>
      </c>
      <c r="H18" s="464">
        <f t="shared" si="2"/>
        <v>0</v>
      </c>
      <c r="I18" s="464"/>
      <c r="J18" s="465">
        <f t="shared" si="3"/>
        <v>0</v>
      </c>
      <c r="N18" s="336"/>
      <c r="O18" s="336"/>
      <c r="P18" s="336"/>
    </row>
    <row r="19" spans="1:16" x14ac:dyDescent="0.25">
      <c r="A19" s="346" t="s">
        <v>33</v>
      </c>
      <c r="B19" s="351">
        <f t="shared" si="0"/>
        <v>0</v>
      </c>
      <c r="C19" s="348">
        <f t="shared" si="1"/>
        <v>0</v>
      </c>
      <c r="D19" s="349"/>
      <c r="E19" s="463"/>
      <c r="F19" s="336"/>
      <c r="G19" s="336" t="s">
        <v>33</v>
      </c>
      <c r="H19" s="464">
        <f t="shared" si="2"/>
        <v>0</v>
      </c>
      <c r="I19" s="464"/>
      <c r="J19" s="465">
        <f t="shared" si="3"/>
        <v>0</v>
      </c>
      <c r="N19" s="336"/>
      <c r="O19" s="336"/>
      <c r="P19" s="336"/>
    </row>
    <row r="20" spans="1:16" x14ac:dyDescent="0.25">
      <c r="A20" s="346" t="s">
        <v>34</v>
      </c>
      <c r="B20" s="351">
        <f t="shared" si="0"/>
        <v>0</v>
      </c>
      <c r="C20" s="348">
        <f t="shared" si="1"/>
        <v>0</v>
      </c>
      <c r="D20" s="349"/>
      <c r="E20" s="463"/>
      <c r="F20" s="336"/>
      <c r="G20" s="336" t="s">
        <v>34</v>
      </c>
      <c r="H20" s="464">
        <f t="shared" si="2"/>
        <v>0</v>
      </c>
      <c r="I20" s="464"/>
      <c r="J20" s="465">
        <f t="shared" si="3"/>
        <v>0</v>
      </c>
      <c r="N20" s="336"/>
      <c r="O20" s="336"/>
      <c r="P20" s="336"/>
    </row>
    <row r="21" spans="1:16" x14ac:dyDescent="0.25">
      <c r="A21" s="346" t="s">
        <v>35</v>
      </c>
      <c r="B21" s="351">
        <f t="shared" si="0"/>
        <v>0</v>
      </c>
      <c r="C21" s="348">
        <f t="shared" si="1"/>
        <v>0</v>
      </c>
      <c r="D21" s="349"/>
      <c r="E21" s="463"/>
      <c r="F21" s="336"/>
      <c r="G21" s="336" t="s">
        <v>35</v>
      </c>
      <c r="H21" s="464">
        <f t="shared" si="2"/>
        <v>0</v>
      </c>
      <c r="I21" s="464"/>
      <c r="J21" s="465">
        <f t="shared" si="3"/>
        <v>0</v>
      </c>
      <c r="N21" s="336"/>
      <c r="O21" s="336"/>
      <c r="P21" s="336"/>
    </row>
    <row r="22" spans="1:16" x14ac:dyDescent="0.25">
      <c r="A22" s="346" t="s">
        <v>36</v>
      </c>
      <c r="B22" s="351">
        <f t="shared" si="0"/>
        <v>3752.5584069017686</v>
      </c>
      <c r="C22" s="348">
        <f t="shared" si="1"/>
        <v>3752.5584069017686</v>
      </c>
      <c r="D22" s="349">
        <f>K44</f>
        <v>0</v>
      </c>
      <c r="E22" s="463"/>
      <c r="F22" s="336"/>
      <c r="G22" s="336" t="s">
        <v>36</v>
      </c>
      <c r="H22" s="464">
        <f t="shared" si="2"/>
        <v>3752.5584069017686</v>
      </c>
      <c r="I22" s="464">
        <f>'ANNEXE 1 Grille'!B20*($D$32*74/100)</f>
        <v>2849.3224996307699</v>
      </c>
      <c r="J22" s="465">
        <f t="shared" si="3"/>
        <v>903.23590727099872</v>
      </c>
      <c r="N22" s="336"/>
      <c r="O22" s="336"/>
      <c r="P22" s="336"/>
    </row>
    <row r="23" spans="1:16" x14ac:dyDescent="0.25">
      <c r="A23" s="346" t="s">
        <v>37</v>
      </c>
      <c r="B23" s="351">
        <f t="shared" si="0"/>
        <v>0</v>
      </c>
      <c r="C23" s="348"/>
      <c r="D23" s="349"/>
      <c r="E23" s="463"/>
      <c r="F23" s="336"/>
      <c r="G23" s="336" t="s">
        <v>37</v>
      </c>
      <c r="H23" s="464">
        <f t="shared" si="2"/>
        <v>0</v>
      </c>
      <c r="I23" s="464"/>
      <c r="J23" s="465">
        <f t="shared" si="3"/>
        <v>0</v>
      </c>
      <c r="N23" s="336"/>
      <c r="O23" s="336"/>
      <c r="P23" s="336"/>
    </row>
    <row r="24" spans="1:16" x14ac:dyDescent="0.25">
      <c r="A24" s="346" t="s">
        <v>39</v>
      </c>
      <c r="B24" s="351">
        <f t="shared" si="0"/>
        <v>0</v>
      </c>
      <c r="C24" s="348"/>
      <c r="D24" s="349"/>
      <c r="E24" s="463"/>
      <c r="F24" s="336"/>
      <c r="G24" s="336" t="s">
        <v>39</v>
      </c>
      <c r="H24" s="464">
        <f t="shared" si="2"/>
        <v>0</v>
      </c>
      <c r="I24" s="464"/>
      <c r="J24" s="465">
        <f t="shared" si="3"/>
        <v>0</v>
      </c>
      <c r="N24" s="336"/>
      <c r="O24" s="336"/>
      <c r="P24" s="336"/>
    </row>
    <row r="25" spans="1:16" x14ac:dyDescent="0.25">
      <c r="A25" s="346" t="s">
        <v>5</v>
      </c>
      <c r="B25" s="351">
        <f t="shared" si="0"/>
        <v>9456.6271075636632</v>
      </c>
      <c r="C25" s="348">
        <f>D32*26/100</f>
        <v>9456.6271075636632</v>
      </c>
      <c r="D25" s="466"/>
      <c r="E25" s="463"/>
      <c r="F25" s="336"/>
      <c r="G25" s="336"/>
      <c r="I25" s="464"/>
      <c r="N25" s="336"/>
      <c r="O25" s="336"/>
      <c r="P25" s="336"/>
    </row>
    <row r="26" spans="1:16" x14ac:dyDescent="0.25">
      <c r="A26" s="346"/>
      <c r="B26" s="351"/>
      <c r="C26" s="348"/>
      <c r="D26" s="466"/>
      <c r="E26" s="467"/>
      <c r="F26" s="336"/>
      <c r="G26" s="336"/>
      <c r="N26" s="336"/>
      <c r="O26" s="336"/>
      <c r="P26" s="336"/>
    </row>
    <row r="27" spans="1:16" s="375" customFormat="1" ht="30" x14ac:dyDescent="0.25">
      <c r="A27" s="366" t="s">
        <v>50</v>
      </c>
      <c r="B27" s="468">
        <f>C27+D27</f>
        <v>36371.642721398704</v>
      </c>
      <c r="C27" s="370">
        <f>SUM(C4:C25)</f>
        <v>36371.642721398704</v>
      </c>
      <c r="D27" s="370">
        <f>D4+D7+D8+D12+D13+D14+D22</f>
        <v>0</v>
      </c>
      <c r="E27" s="469"/>
      <c r="G27" s="375" t="s">
        <v>50</v>
      </c>
      <c r="H27" s="465">
        <f>SUM(H4:H26)</f>
        <v>26915.015613835039</v>
      </c>
      <c r="I27" s="465">
        <f>D32*74/100-SUM(I4:I24)</f>
        <v>7225.8872581679898</v>
      </c>
      <c r="J27" s="465">
        <f>SUM(J4:J25)</f>
        <v>7225.8872581679898</v>
      </c>
    </row>
    <row r="28" spans="1:16" ht="30" x14ac:dyDescent="0.25">
      <c r="A28" s="385" t="s">
        <v>51</v>
      </c>
      <c r="B28" s="379">
        <f>SUM(B4:B25)</f>
        <v>36371.642721398704</v>
      </c>
      <c r="C28" s="351">
        <f>SUM(C4:C25)</f>
        <v>36371.642721398704</v>
      </c>
      <c r="D28" s="351">
        <f>SUM(D4:D25)</f>
        <v>0</v>
      </c>
      <c r="E28" s="380"/>
      <c r="F28" s="336"/>
      <c r="G28" s="470" t="s">
        <v>40</v>
      </c>
      <c r="H28" s="464">
        <f>D32*74/100-H27</f>
        <v>0</v>
      </c>
      <c r="N28" s="336"/>
      <c r="O28" s="336"/>
      <c r="P28" s="336"/>
    </row>
    <row r="29" spans="1:16" s="473" customFormat="1" ht="12" x14ac:dyDescent="0.2">
      <c r="A29" s="371" t="s">
        <v>40</v>
      </c>
      <c r="B29" s="471">
        <f>SUM(B4:B25)-D32</f>
        <v>0</v>
      </c>
      <c r="C29" s="471"/>
      <c r="D29" s="471"/>
      <c r="E29" s="472"/>
      <c r="F29" s="472"/>
      <c r="G29" s="472"/>
      <c r="H29" s="472"/>
    </row>
    <row r="30" spans="1:16" x14ac:dyDescent="0.25">
      <c r="B30" s="741" t="s">
        <v>255</v>
      </c>
      <c r="C30" s="741"/>
      <c r="D30" s="384">
        <f>SUBTOTAL(3,I4:I24)</f>
        <v>8</v>
      </c>
      <c r="E30" s="336"/>
      <c r="F30" s="336"/>
      <c r="G30" s="336"/>
      <c r="N30" s="336"/>
      <c r="O30" s="336"/>
      <c r="P30" s="336"/>
    </row>
    <row r="31" spans="1:16" ht="45" x14ac:dyDescent="0.25">
      <c r="B31" s="474" t="s">
        <v>209</v>
      </c>
      <c r="C31" s="475"/>
      <c r="D31" s="476"/>
      <c r="E31" s="336"/>
      <c r="F31" s="336"/>
      <c r="G31" s="336"/>
      <c r="N31" s="336"/>
      <c r="O31" s="336"/>
      <c r="P31" s="336"/>
    </row>
    <row r="32" spans="1:16" ht="17.25" x14ac:dyDescent="0.25">
      <c r="B32" s="477" t="s">
        <v>445</v>
      </c>
      <c r="C32" s="478"/>
      <c r="D32" s="479">
        <f>D34*D36</f>
        <v>36371.642721398704</v>
      </c>
      <c r="E32" s="480"/>
      <c r="F32" s="387" t="s">
        <v>446</v>
      </c>
      <c r="G32" s="336"/>
      <c r="N32" s="336"/>
      <c r="O32" s="336"/>
      <c r="P32" s="336"/>
    </row>
    <row r="33" spans="1:18" x14ac:dyDescent="0.25">
      <c r="B33" s="477" t="s">
        <v>439</v>
      </c>
      <c r="C33" s="478"/>
      <c r="D33" s="479">
        <f>D35*D36</f>
        <v>43645.971265678447</v>
      </c>
      <c r="E33" s="336"/>
      <c r="F33" s="336"/>
      <c r="G33" s="336"/>
      <c r="N33" s="336"/>
      <c r="O33" s="336"/>
      <c r="P33" s="336"/>
    </row>
    <row r="34" spans="1:18" x14ac:dyDescent="0.25">
      <c r="B34" s="477" t="s">
        <v>211</v>
      </c>
      <c r="C34" s="478"/>
      <c r="D34" s="479">
        <v>34912</v>
      </c>
      <c r="E34" s="336"/>
      <c r="F34" s="336"/>
      <c r="G34" s="336"/>
      <c r="N34" s="336"/>
      <c r="O34" s="336"/>
      <c r="P34" s="336"/>
    </row>
    <row r="35" spans="1:18" x14ac:dyDescent="0.25">
      <c r="B35" s="477" t="s">
        <v>212</v>
      </c>
      <c r="C35" s="478"/>
      <c r="D35" s="479">
        <f>D34*1.2</f>
        <v>41894.400000000001</v>
      </c>
      <c r="E35" s="336"/>
      <c r="F35" s="336"/>
      <c r="G35" s="336"/>
      <c r="N35" s="336"/>
      <c r="O35" s="336"/>
      <c r="P35" s="336"/>
    </row>
    <row r="36" spans="1:18" ht="30" x14ac:dyDescent="0.25">
      <c r="B36" s="477" t="s">
        <v>441</v>
      </c>
      <c r="C36" s="478"/>
      <c r="D36" s="389">
        <f>2741/2631</f>
        <v>1.0418091980235651</v>
      </c>
      <c r="E36" s="336"/>
      <c r="F36" s="336"/>
      <c r="G36" s="336"/>
      <c r="N36" s="336"/>
      <c r="O36" s="336"/>
      <c r="P36" s="336"/>
    </row>
    <row r="37" spans="1:18" x14ac:dyDescent="0.25">
      <c r="B37" s="426"/>
      <c r="C37" s="426"/>
      <c r="D37" s="336"/>
      <c r="E37" s="336"/>
      <c r="F37" s="481"/>
      <c r="G37" s="336"/>
      <c r="N37" s="336"/>
      <c r="O37" s="336"/>
      <c r="P37" s="336"/>
    </row>
    <row r="38" spans="1:18" x14ac:dyDescent="0.25">
      <c r="B38" s="727" t="s">
        <v>213</v>
      </c>
      <c r="C38" s="727"/>
      <c r="D38" s="727"/>
      <c r="E38" s="336"/>
      <c r="F38" s="336"/>
      <c r="G38" s="336"/>
      <c r="N38" s="336"/>
      <c r="O38" s="336"/>
      <c r="P38" s="336"/>
    </row>
    <row r="39" spans="1:18" x14ac:dyDescent="0.25">
      <c r="B39" s="482" t="s">
        <v>258</v>
      </c>
      <c r="C39" s="483"/>
      <c r="D39" s="484">
        <v>6000</v>
      </c>
      <c r="E39" s="336"/>
      <c r="F39" s="336"/>
      <c r="G39" s="485"/>
      <c r="H39" s="342"/>
      <c r="N39" s="336"/>
      <c r="O39" s="336"/>
      <c r="P39" s="336"/>
    </row>
    <row r="40" spans="1:18" x14ac:dyDescent="0.25">
      <c r="B40" s="482" t="s">
        <v>259</v>
      </c>
      <c r="C40" s="483"/>
      <c r="D40" s="486"/>
      <c r="E40" s="336"/>
      <c r="F40" s="336"/>
      <c r="G40" s="487"/>
      <c r="H40" s="488"/>
      <c r="N40" s="336"/>
      <c r="O40" s="336"/>
      <c r="P40" s="336"/>
    </row>
    <row r="41" spans="1:18" x14ac:dyDescent="0.25">
      <c r="B41" s="355"/>
      <c r="C41" s="488"/>
      <c r="D41" s="489"/>
      <c r="E41" s="489"/>
      <c r="F41" s="489"/>
      <c r="G41" s="487"/>
      <c r="H41" s="488"/>
      <c r="N41" s="336"/>
      <c r="O41" s="336"/>
      <c r="P41" s="336"/>
    </row>
    <row r="42" spans="1:18" x14ac:dyDescent="0.25">
      <c r="A42" s="391" t="s">
        <v>260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N42" s="336"/>
      <c r="O42" s="336"/>
      <c r="P42" s="336"/>
      <c r="R42" s="488"/>
    </row>
    <row r="43" spans="1:18" ht="30" x14ac:dyDescent="0.25">
      <c r="A43" s="739">
        <v>2019</v>
      </c>
      <c r="B43" s="739"/>
      <c r="C43" s="739"/>
      <c r="D43" s="490" t="s">
        <v>79</v>
      </c>
      <c r="E43" s="491" t="s">
        <v>21</v>
      </c>
      <c r="F43" s="491" t="s">
        <v>26</v>
      </c>
      <c r="G43" s="491" t="s">
        <v>27</v>
      </c>
      <c r="H43" s="491" t="s">
        <v>22</v>
      </c>
      <c r="I43" s="415" t="s">
        <v>18</v>
      </c>
      <c r="J43" s="415" t="s">
        <v>28</v>
      </c>
      <c r="K43" s="415" t="s">
        <v>27</v>
      </c>
      <c r="L43" s="415" t="s">
        <v>31</v>
      </c>
      <c r="N43" s="336"/>
      <c r="O43" s="336"/>
      <c r="P43" s="336"/>
      <c r="R43" s="488"/>
    </row>
    <row r="44" spans="1:18" x14ac:dyDescent="0.25">
      <c r="A44" s="730" t="s">
        <v>216</v>
      </c>
      <c r="B44" s="730"/>
      <c r="C44" s="730"/>
      <c r="D44" s="492">
        <f>SUM(E44:L44)</f>
        <v>0</v>
      </c>
      <c r="E44" s="493">
        <f>SUM(E45:E46)</f>
        <v>0</v>
      </c>
      <c r="F44" s="493">
        <f>SUM(F45:F46)</f>
        <v>0</v>
      </c>
      <c r="G44" s="493">
        <f>SUM(G45:G46)</f>
        <v>0</v>
      </c>
      <c r="H44" s="493">
        <f>SUM(H45:H46)</f>
        <v>0</v>
      </c>
      <c r="I44" s="402">
        <f>I45+I46</f>
        <v>0</v>
      </c>
      <c r="J44" s="402">
        <f>SUM(J45:J46)</f>
        <v>0</v>
      </c>
      <c r="K44" s="402">
        <v>0</v>
      </c>
      <c r="L44" s="402">
        <f>L46</f>
        <v>0</v>
      </c>
      <c r="M44" s="488"/>
      <c r="N44" s="489"/>
      <c r="O44" s="489"/>
      <c r="P44" s="489"/>
    </row>
    <row r="45" spans="1:18" hidden="1" x14ac:dyDescent="0.25">
      <c r="A45" s="730" t="s">
        <v>376</v>
      </c>
      <c r="B45" s="730"/>
      <c r="C45" s="730"/>
      <c r="D45" s="420"/>
      <c r="E45" s="403"/>
      <c r="F45" s="403"/>
      <c r="G45" s="403"/>
      <c r="H45" s="403"/>
      <c r="I45" s="403"/>
      <c r="J45" s="403"/>
      <c r="K45" s="403"/>
      <c r="L45" s="403"/>
      <c r="M45" s="488"/>
      <c r="N45" s="489"/>
      <c r="O45" s="489"/>
      <c r="P45" s="489"/>
    </row>
    <row r="46" spans="1:18" x14ac:dyDescent="0.25">
      <c r="A46" s="730" t="s">
        <v>399</v>
      </c>
      <c r="B46" s="730"/>
      <c r="C46" s="730"/>
      <c r="D46" s="420">
        <f>E62</f>
        <v>0</v>
      </c>
      <c r="E46" s="420">
        <f t="shared" ref="E46:K46" si="4">F62</f>
        <v>0</v>
      </c>
      <c r="F46" s="420">
        <f t="shared" si="4"/>
        <v>0</v>
      </c>
      <c r="G46" s="420">
        <f t="shared" si="4"/>
        <v>0</v>
      </c>
      <c r="H46" s="420">
        <f t="shared" si="4"/>
        <v>0</v>
      </c>
      <c r="I46" s="420">
        <f t="shared" si="4"/>
        <v>0</v>
      </c>
      <c r="J46" s="420">
        <f t="shared" si="4"/>
        <v>0</v>
      </c>
      <c r="K46" s="420">
        <f t="shared" si="4"/>
        <v>0</v>
      </c>
      <c r="L46" s="420"/>
      <c r="N46" s="336"/>
      <c r="O46" s="336"/>
      <c r="P46" s="336"/>
    </row>
    <row r="47" spans="1:18" x14ac:dyDescent="0.25">
      <c r="A47" s="406"/>
      <c r="B47" s="407"/>
      <c r="C47" s="408"/>
      <c r="D47" s="494">
        <f>SUM(D45:D46)</f>
        <v>0</v>
      </c>
      <c r="E47" s="495"/>
      <c r="F47" s="495"/>
      <c r="G47" s="495"/>
      <c r="H47" s="495"/>
      <c r="I47" s="408"/>
      <c r="J47" s="408"/>
      <c r="N47" s="336"/>
      <c r="O47" s="336"/>
      <c r="P47" s="336"/>
    </row>
    <row r="48" spans="1:18" x14ac:dyDescent="0.25">
      <c r="A48" s="406"/>
      <c r="B48" s="407"/>
      <c r="C48" s="408"/>
      <c r="D48" s="495"/>
      <c r="E48" s="495"/>
      <c r="F48" s="495"/>
      <c r="G48" s="495"/>
      <c r="H48" s="408"/>
      <c r="I48" s="408"/>
      <c r="J48" s="408"/>
      <c r="N48" s="336"/>
      <c r="O48" s="336"/>
      <c r="P48" s="336"/>
    </row>
    <row r="49" spans="1:17" x14ac:dyDescent="0.25">
      <c r="A49" s="411" t="s">
        <v>264</v>
      </c>
      <c r="B49" s="411"/>
      <c r="C49" s="411"/>
      <c r="D49" s="392"/>
      <c r="E49" s="392"/>
      <c r="F49" s="392"/>
      <c r="G49" s="392"/>
      <c r="H49" s="392"/>
      <c r="I49" s="411"/>
      <c r="J49" s="411"/>
      <c r="K49" s="411"/>
      <c r="L49" s="392"/>
      <c r="N49" s="336"/>
      <c r="O49" s="336"/>
      <c r="P49" s="336"/>
    </row>
    <row r="50" spans="1:17" ht="39" x14ac:dyDescent="0.25">
      <c r="A50" s="431" t="s">
        <v>265</v>
      </c>
      <c r="B50" s="496" t="s">
        <v>220</v>
      </c>
      <c r="C50" s="496" t="s">
        <v>221</v>
      </c>
      <c r="D50" s="415" t="s">
        <v>79</v>
      </c>
      <c r="E50" s="491" t="s">
        <v>21</v>
      </c>
      <c r="F50" s="491" t="s">
        <v>26</v>
      </c>
      <c r="G50" s="491" t="s">
        <v>27</v>
      </c>
      <c r="H50" s="491" t="s">
        <v>22</v>
      </c>
      <c r="I50" s="415" t="s">
        <v>18</v>
      </c>
      <c r="J50" s="415" t="s">
        <v>28</v>
      </c>
      <c r="K50" s="415" t="s">
        <v>261</v>
      </c>
      <c r="L50" s="415" t="s">
        <v>31</v>
      </c>
      <c r="N50" s="336"/>
      <c r="O50" s="336"/>
      <c r="P50" s="336"/>
    </row>
    <row r="51" spans="1:17" ht="15" customHeight="1" x14ac:dyDescent="0.25">
      <c r="A51" s="431">
        <v>2019</v>
      </c>
      <c r="B51" s="742" t="s">
        <v>377</v>
      </c>
      <c r="C51" s="742"/>
      <c r="D51" s="742"/>
      <c r="E51" s="742"/>
      <c r="F51" s="742"/>
      <c r="G51" s="742"/>
      <c r="H51" s="742"/>
      <c r="I51" s="742"/>
      <c r="J51" s="742"/>
      <c r="K51" s="742"/>
      <c r="L51" s="742"/>
      <c r="N51" s="336"/>
      <c r="O51" s="336"/>
      <c r="P51" s="336"/>
    </row>
    <row r="52" spans="1:17" ht="15" customHeight="1" x14ac:dyDescent="0.25">
      <c r="A52" s="431">
        <v>2018</v>
      </c>
      <c r="B52" s="742"/>
      <c r="C52" s="742"/>
      <c r="D52" s="742"/>
      <c r="E52" s="742"/>
      <c r="F52" s="742"/>
      <c r="G52" s="742"/>
      <c r="H52" s="742"/>
      <c r="I52" s="742"/>
      <c r="J52" s="742"/>
      <c r="K52" s="742"/>
      <c r="L52" s="742"/>
      <c r="N52" s="336"/>
      <c r="O52" s="336"/>
      <c r="P52" s="336"/>
    </row>
    <row r="53" spans="1:17" x14ac:dyDescent="0.25">
      <c r="A53" s="431">
        <v>2017</v>
      </c>
      <c r="B53" s="497">
        <f>2570/2458</f>
        <v>1.0455655004068349</v>
      </c>
      <c r="C53" s="498">
        <f>B53*C56</f>
        <v>462.13995117982103</v>
      </c>
      <c r="D53" s="499">
        <f>SUM(E53:J53)</f>
        <v>5545.6794141578521</v>
      </c>
      <c r="E53" s="499">
        <f>11*$C53/6+$C53*$E$57</f>
        <v>847.2565771630052</v>
      </c>
      <c r="F53" s="499">
        <f>11*$C53/6+$C53*$F$57</f>
        <v>847.2565771630052</v>
      </c>
      <c r="G53" s="499">
        <f>11*$C53/6+$C53*$G$57</f>
        <v>847.2565771630052</v>
      </c>
      <c r="H53" s="499">
        <f>11*$C53/6+$C53*$H$57</f>
        <v>847.2565771630052</v>
      </c>
      <c r="I53" s="499">
        <f>11*$C53/6+$C53*$I$57</f>
        <v>847.2565771630052</v>
      </c>
      <c r="J53" s="499">
        <f>11*$C53/6+$C53*$J$57</f>
        <v>1309.3965283428263</v>
      </c>
      <c r="K53" s="499">
        <f>11*$C53/6+$C53*$I$57</f>
        <v>847.2565771630052</v>
      </c>
      <c r="L53" s="426"/>
      <c r="M53" s="426"/>
      <c r="O53" s="336"/>
      <c r="P53" s="336"/>
    </row>
    <row r="54" spans="1:17" x14ac:dyDescent="0.25">
      <c r="A54" s="417">
        <v>2016</v>
      </c>
      <c r="B54" s="418">
        <v>1.02685</v>
      </c>
      <c r="C54" s="500">
        <f>B54*C56</f>
        <v>453.86770000000001</v>
      </c>
      <c r="D54" s="501">
        <f>SUM(E54:J54)</f>
        <v>5446.4124000000011</v>
      </c>
      <c r="E54" s="501">
        <f>11*$C54/6+$C54*$E$57</f>
        <v>832.09078333333343</v>
      </c>
      <c r="F54" s="501">
        <f>11*$C54/6+$C54*$F$57</f>
        <v>832.09078333333343</v>
      </c>
      <c r="G54" s="501">
        <f>11*$C54/6+$C54*$G$57</f>
        <v>832.09078333333343</v>
      </c>
      <c r="H54" s="501">
        <f>11*$C54/6+$C54*$H$57</f>
        <v>832.09078333333343</v>
      </c>
      <c r="I54" s="501">
        <f>11*$C54/6+$C54*$I$57</f>
        <v>832.09078333333343</v>
      </c>
      <c r="J54" s="501">
        <f>11*$C54/6+$C54*$J$57</f>
        <v>1285.9584833333333</v>
      </c>
      <c r="K54" s="501">
        <f>11*$C54/6+$C54*$I$57</f>
        <v>832.09078333333343</v>
      </c>
      <c r="N54" s="336"/>
      <c r="O54" s="336"/>
      <c r="P54" s="336"/>
    </row>
    <row r="55" spans="1:17" x14ac:dyDescent="0.25">
      <c r="A55" s="417">
        <v>2015</v>
      </c>
      <c r="B55" s="422">
        <v>0.996</v>
      </c>
      <c r="C55" s="500">
        <f>B55*C56</f>
        <v>440.23199999999997</v>
      </c>
      <c r="D55" s="501">
        <f>SUM(E55:J55)</f>
        <v>5282.7839999999997</v>
      </c>
      <c r="E55" s="501">
        <f>11*$C55/6+$C55*$E$57</f>
        <v>807.09199999999998</v>
      </c>
      <c r="F55" s="501">
        <f>11*$C55/6+$C55*$F$57</f>
        <v>807.09199999999998</v>
      </c>
      <c r="G55" s="501">
        <f>11*$C55/6+$C55*$G$57</f>
        <v>807.09199999999998</v>
      </c>
      <c r="H55" s="501">
        <f>11*$C55/6+$C55*$H$57</f>
        <v>807.09199999999998</v>
      </c>
      <c r="I55" s="501">
        <f>11*$C55/6+$C55*$I$57</f>
        <v>807.09199999999998</v>
      </c>
      <c r="J55" s="501">
        <f>11*$C55/6+$C55*$J$57</f>
        <v>1247.3240000000001</v>
      </c>
      <c r="K55" s="501">
        <f>11*$C55/6+$C55*$I$57</f>
        <v>807.09199999999998</v>
      </c>
      <c r="N55" s="336"/>
      <c r="O55" s="336"/>
      <c r="P55" s="336"/>
    </row>
    <row r="56" spans="1:17" x14ac:dyDescent="0.25">
      <c r="A56" s="417">
        <v>2014</v>
      </c>
      <c r="B56" s="422" t="s">
        <v>156</v>
      </c>
      <c r="C56" s="500">
        <v>442</v>
      </c>
      <c r="D56" s="501">
        <f>SUM(E56:J56)</f>
        <v>5304</v>
      </c>
      <c r="E56" s="501">
        <f>11*$C56/6+$C56*$E$57</f>
        <v>810.33333333333337</v>
      </c>
      <c r="F56" s="501">
        <f>11*$C56/6+$C56*$F$57</f>
        <v>810.33333333333337</v>
      </c>
      <c r="G56" s="501">
        <f>11*$C56/6+$C56*$G$57</f>
        <v>810.33333333333337</v>
      </c>
      <c r="H56" s="501">
        <f>11*$C56/6+$C56*$H$57</f>
        <v>810.33333333333337</v>
      </c>
      <c r="I56" s="501">
        <f>11*$C56/6+$C56*$I$57</f>
        <v>810.33333333333337</v>
      </c>
      <c r="J56" s="501">
        <f>11*$C56/6+$C56*$J$57</f>
        <v>1252.3333333333335</v>
      </c>
      <c r="K56" s="501">
        <f>11*$C56/6+$C56*$I$57</f>
        <v>810.33333333333337</v>
      </c>
      <c r="N56" s="336"/>
      <c r="O56" s="336"/>
      <c r="P56" s="336"/>
    </row>
    <row r="57" spans="1:17" x14ac:dyDescent="0.25">
      <c r="A57" s="417" t="s">
        <v>224</v>
      </c>
      <c r="B57" s="422"/>
      <c r="C57" s="422" t="s">
        <v>266</v>
      </c>
      <c r="D57" s="423"/>
      <c r="E57" s="502">
        <v>0</v>
      </c>
      <c r="F57" s="502">
        <v>0</v>
      </c>
      <c r="G57" s="502">
        <v>0</v>
      </c>
      <c r="H57" s="502">
        <v>0</v>
      </c>
      <c r="I57" s="423">
        <v>0</v>
      </c>
      <c r="J57" s="423">
        <v>1</v>
      </c>
      <c r="K57" s="423">
        <v>0</v>
      </c>
      <c r="N57" s="336"/>
      <c r="O57" s="336"/>
      <c r="P57" s="336"/>
    </row>
    <row r="58" spans="1:17" x14ac:dyDescent="0.25">
      <c r="A58" s="424"/>
      <c r="B58" s="425"/>
      <c r="C58" s="425"/>
      <c r="D58" s="503"/>
      <c r="E58" s="390"/>
      <c r="F58" s="390"/>
      <c r="G58" s="390"/>
      <c r="H58" s="337"/>
      <c r="I58" s="337"/>
      <c r="J58" s="337"/>
      <c r="N58" s="336"/>
      <c r="O58" s="336"/>
      <c r="P58" s="336"/>
    </row>
    <row r="59" spans="1:17" x14ac:dyDescent="0.25">
      <c r="A59" s="429"/>
      <c r="B59" s="430"/>
      <c r="C59" s="429"/>
      <c r="D59" s="504"/>
      <c r="E59" s="504"/>
      <c r="F59" s="504"/>
      <c r="G59" s="505"/>
      <c r="H59" s="506"/>
      <c r="I59" s="337"/>
      <c r="J59" s="337"/>
      <c r="N59" s="336"/>
      <c r="O59" s="336"/>
      <c r="P59" s="336"/>
    </row>
    <row r="60" spans="1:17" x14ac:dyDescent="0.25">
      <c r="A60" s="391" t="s">
        <v>251</v>
      </c>
      <c r="B60" s="392"/>
      <c r="C60" s="392"/>
      <c r="D60" s="392"/>
      <c r="E60" s="392"/>
      <c r="F60" s="392"/>
      <c r="G60" s="392"/>
      <c r="H60" s="392"/>
      <c r="I60" s="392"/>
      <c r="J60" s="392"/>
      <c r="K60" s="392"/>
      <c r="L60" s="392"/>
      <c r="N60" s="336"/>
      <c r="O60" s="336"/>
      <c r="P60" s="336"/>
    </row>
    <row r="61" spans="1:17" ht="39" x14ac:dyDescent="0.25">
      <c r="A61" s="431" t="s">
        <v>265</v>
      </c>
      <c r="B61" s="431" t="s">
        <v>220</v>
      </c>
      <c r="C61" s="431" t="s">
        <v>221</v>
      </c>
      <c r="D61" s="415" t="s">
        <v>79</v>
      </c>
      <c r="E61" s="491" t="s">
        <v>21</v>
      </c>
      <c r="F61" s="491" t="s">
        <v>26</v>
      </c>
      <c r="G61" s="491" t="s">
        <v>27</v>
      </c>
      <c r="H61" s="491" t="s">
        <v>22</v>
      </c>
      <c r="I61" s="415" t="s">
        <v>18</v>
      </c>
      <c r="J61" s="415" t="s">
        <v>28</v>
      </c>
      <c r="K61" s="415" t="s">
        <v>261</v>
      </c>
      <c r="L61" s="415" t="s">
        <v>31</v>
      </c>
      <c r="N61" s="336"/>
      <c r="O61" s="336"/>
      <c r="P61" s="336"/>
    </row>
    <row r="62" spans="1:17" x14ac:dyDescent="0.25">
      <c r="A62" s="431">
        <v>2019</v>
      </c>
      <c r="B62" s="418">
        <f>D36</f>
        <v>1.0418091980235651</v>
      </c>
      <c r="C62" s="507">
        <f>C63*B62</f>
        <v>1229.3348536678068</v>
      </c>
      <c r="D62" s="499">
        <f t="shared" ref="D62:D63" si="5">SUM(E62:L62)</f>
        <v>0</v>
      </c>
      <c r="E62" s="508">
        <v>0</v>
      </c>
      <c r="F62" s="508">
        <v>0</v>
      </c>
      <c r="G62" s="508">
        <v>0</v>
      </c>
      <c r="H62" s="508">
        <v>0</v>
      </c>
      <c r="I62" s="508">
        <v>0</v>
      </c>
      <c r="J62" s="508">
        <v>0</v>
      </c>
      <c r="K62" s="509">
        <v>0</v>
      </c>
      <c r="L62" s="509">
        <v>0</v>
      </c>
      <c r="N62" s="336"/>
      <c r="O62" s="336"/>
      <c r="P62" s="336"/>
    </row>
    <row r="63" spans="1:17" x14ac:dyDescent="0.25">
      <c r="A63" s="431">
        <v>2018</v>
      </c>
      <c r="B63" s="431"/>
      <c r="C63" s="510">
        <v>1180</v>
      </c>
      <c r="D63" s="499">
        <f t="shared" si="5"/>
        <v>0</v>
      </c>
      <c r="E63" s="508">
        <v>0</v>
      </c>
      <c r="F63" s="508">
        <v>0</v>
      </c>
      <c r="G63" s="508">
        <v>0</v>
      </c>
      <c r="H63" s="508">
        <v>0</v>
      </c>
      <c r="I63" s="508">
        <v>0</v>
      </c>
      <c r="J63" s="508">
        <v>0</v>
      </c>
      <c r="K63" s="509">
        <v>0</v>
      </c>
      <c r="L63" s="509">
        <v>0</v>
      </c>
      <c r="N63" s="336"/>
      <c r="O63" s="336"/>
      <c r="P63" s="336"/>
    </row>
    <row r="64" spans="1:17" x14ac:dyDescent="0.25">
      <c r="A64" s="431">
        <v>2017</v>
      </c>
      <c r="B64" s="418">
        <f>2570/2458</f>
        <v>1.0455655004068349</v>
      </c>
      <c r="C64" s="420">
        <f>B64*C67</f>
        <v>1182.5345809601304</v>
      </c>
      <c r="D64" s="499">
        <f>SUM(E64:L64)</f>
        <v>1182.5345809601304</v>
      </c>
      <c r="E64" s="511">
        <v>0</v>
      </c>
      <c r="F64" s="511">
        <v>0</v>
      </c>
      <c r="G64" s="511">
        <v>0</v>
      </c>
      <c r="H64" s="511">
        <f>C64/2</f>
        <v>591.26729048006518</v>
      </c>
      <c r="I64" s="420">
        <f>C64/2</f>
        <v>591.26729048006518</v>
      </c>
      <c r="J64" s="420">
        <f>0</f>
        <v>0</v>
      </c>
      <c r="K64" s="509">
        <v>0</v>
      </c>
      <c r="L64" s="509">
        <v>0</v>
      </c>
      <c r="N64" s="336"/>
      <c r="Q64" s="426"/>
    </row>
    <row r="65" spans="1:17" x14ac:dyDescent="0.25">
      <c r="A65" s="417">
        <v>2016</v>
      </c>
      <c r="B65" s="418">
        <v>1.02685</v>
      </c>
      <c r="C65" s="420">
        <f>B65*C67</f>
        <v>1161.36735</v>
      </c>
      <c r="D65" s="499">
        <f t="shared" ref="D65:D67" si="6">SUM(E65:L65)</f>
        <v>1161.36735</v>
      </c>
      <c r="E65" s="511">
        <v>0</v>
      </c>
      <c r="F65" s="511">
        <v>0</v>
      </c>
      <c r="G65" s="511">
        <v>0</v>
      </c>
      <c r="H65" s="511">
        <f>C65/2</f>
        <v>580.68367499999999</v>
      </c>
      <c r="I65" s="420">
        <f>C65/2</f>
        <v>580.68367499999999</v>
      </c>
      <c r="J65" s="420">
        <f>0</f>
        <v>0</v>
      </c>
      <c r="K65" s="509">
        <v>0</v>
      </c>
      <c r="L65" s="509">
        <v>0</v>
      </c>
      <c r="N65" s="336"/>
      <c r="Q65" s="426"/>
    </row>
    <row r="66" spans="1:17" x14ac:dyDescent="0.25">
      <c r="A66" s="417">
        <v>2015</v>
      </c>
      <c r="B66" s="422">
        <v>0.996</v>
      </c>
      <c r="C66" s="420">
        <f>B66*C67</f>
        <v>1126.4759999999999</v>
      </c>
      <c r="D66" s="499">
        <f t="shared" si="6"/>
        <v>0</v>
      </c>
      <c r="E66" s="511">
        <v>0</v>
      </c>
      <c r="F66" s="511">
        <v>0</v>
      </c>
      <c r="G66" s="511">
        <v>0</v>
      </c>
      <c r="H66" s="511">
        <v>0</v>
      </c>
      <c r="I66" s="420">
        <v>0</v>
      </c>
      <c r="J66" s="420">
        <v>0</v>
      </c>
      <c r="K66" s="509">
        <v>0</v>
      </c>
      <c r="L66" s="509">
        <v>0</v>
      </c>
      <c r="N66" s="336"/>
      <c r="Q66" s="426"/>
    </row>
    <row r="67" spans="1:17" x14ac:dyDescent="0.25">
      <c r="A67" s="417">
        <v>2014</v>
      </c>
      <c r="B67" s="422" t="s">
        <v>156</v>
      </c>
      <c r="C67" s="420">
        <v>1131</v>
      </c>
      <c r="D67" s="499">
        <f t="shared" si="6"/>
        <v>0</v>
      </c>
      <c r="E67" s="511">
        <v>0</v>
      </c>
      <c r="F67" s="511">
        <v>0</v>
      </c>
      <c r="G67" s="511">
        <v>0</v>
      </c>
      <c r="H67" s="511">
        <v>0</v>
      </c>
      <c r="I67" s="420">
        <v>0</v>
      </c>
      <c r="J67" s="420">
        <v>0</v>
      </c>
      <c r="K67" s="509">
        <v>0</v>
      </c>
      <c r="L67" s="509">
        <v>0</v>
      </c>
      <c r="N67" s="336"/>
      <c r="Q67" s="426"/>
    </row>
    <row r="68" spans="1:17" x14ac:dyDescent="0.25">
      <c r="A68" s="424"/>
      <c r="B68" s="425"/>
      <c r="C68" s="425"/>
      <c r="D68" s="503"/>
      <c r="E68" s="390"/>
      <c r="F68" s="390"/>
      <c r="G68" s="390"/>
      <c r="H68" s="337"/>
      <c r="I68" s="337"/>
      <c r="J68" s="337"/>
    </row>
    <row r="69" spans="1:17" x14ac:dyDescent="0.25">
      <c r="A69" s="512" t="s">
        <v>268</v>
      </c>
      <c r="B69" s="512"/>
      <c r="C69" s="512"/>
      <c r="D69" s="512"/>
      <c r="E69" s="336"/>
      <c r="F69" s="390"/>
      <c r="G69" s="390"/>
      <c r="H69" s="337"/>
      <c r="I69" s="337"/>
      <c r="J69" s="337"/>
    </row>
    <row r="70" spans="1:17" x14ac:dyDescent="0.25">
      <c r="A70" s="412" t="s">
        <v>219</v>
      </c>
      <c r="B70" s="734" t="s">
        <v>26</v>
      </c>
      <c r="C70" s="734"/>
      <c r="D70" s="734"/>
      <c r="E70" s="734"/>
      <c r="F70" s="734"/>
      <c r="G70" s="390"/>
      <c r="H70" s="337"/>
      <c r="I70" s="337"/>
      <c r="J70" s="337"/>
    </row>
    <row r="71" spans="1:17" x14ac:dyDescent="0.25">
      <c r="A71" s="428" t="s">
        <v>228</v>
      </c>
      <c r="B71" s="743" t="s">
        <v>269</v>
      </c>
      <c r="C71" s="743"/>
      <c r="D71" s="743"/>
      <c r="E71" s="743"/>
      <c r="F71" s="743"/>
      <c r="G71" s="390"/>
      <c r="H71" s="337"/>
      <c r="I71" s="337"/>
      <c r="J71" s="337"/>
    </row>
    <row r="72" spans="1:17" x14ac:dyDescent="0.25">
      <c r="A72" s="428" t="s">
        <v>250</v>
      </c>
      <c r="B72" s="737">
        <v>1</v>
      </c>
      <c r="C72" s="737"/>
      <c r="D72" s="737"/>
      <c r="E72" s="737"/>
      <c r="F72" s="737"/>
      <c r="G72" s="390"/>
      <c r="H72" s="337"/>
      <c r="I72" s="337"/>
      <c r="J72" s="337"/>
    </row>
    <row r="76" spans="1:17" x14ac:dyDescent="0.25">
      <c r="A76" s="336" t="s">
        <v>270</v>
      </c>
    </row>
  </sheetData>
  <mergeCells count="13">
    <mergeCell ref="B51:L52"/>
    <mergeCell ref="B72:F72"/>
    <mergeCell ref="B70:F70"/>
    <mergeCell ref="B71:F71"/>
    <mergeCell ref="A45:C45"/>
    <mergeCell ref="A46:C46"/>
    <mergeCell ref="B38:D38"/>
    <mergeCell ref="A43:C43"/>
    <mergeCell ref="A44:C44"/>
    <mergeCell ref="A1:A3"/>
    <mergeCell ref="B1:D1"/>
    <mergeCell ref="B2:D2"/>
    <mergeCell ref="B30:C30"/>
  </mergeCells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S114"/>
  <sheetViews>
    <sheetView topLeftCell="A92" zoomScale="80" zoomScaleNormal="80" workbookViewId="0">
      <selection activeCell="B95" sqref="B95"/>
    </sheetView>
  </sheetViews>
  <sheetFormatPr baseColWidth="10" defaultColWidth="16.85546875" defaultRowHeight="15" x14ac:dyDescent="0.25"/>
  <cols>
    <col min="1" max="2" width="16.85546875" style="207"/>
    <col min="3" max="3" width="16.85546875" style="253"/>
    <col min="4" max="16384" width="16.85546875" style="207"/>
  </cols>
  <sheetData>
    <row r="1" spans="1:19" ht="15" customHeight="1" x14ac:dyDescent="0.25">
      <c r="A1" s="722" t="s">
        <v>53</v>
      </c>
      <c r="B1" s="744" t="s">
        <v>374</v>
      </c>
      <c r="C1" s="744"/>
      <c r="D1" s="744"/>
      <c r="F1" s="722" t="s">
        <v>53</v>
      </c>
      <c r="G1" s="723" t="s">
        <v>375</v>
      </c>
      <c r="H1" s="723"/>
      <c r="I1" s="723"/>
      <c r="J1" s="278"/>
      <c r="K1" s="549" t="s">
        <v>53</v>
      </c>
      <c r="L1" s="745" t="s">
        <v>378</v>
      </c>
      <c r="M1" s="746"/>
      <c r="N1" s="747"/>
      <c r="O1" s="279"/>
      <c r="P1" s="280" t="s">
        <v>53</v>
      </c>
      <c r="Q1" s="756" t="s">
        <v>379</v>
      </c>
      <c r="R1" s="757"/>
      <c r="S1" s="758"/>
    </row>
    <row r="2" spans="1:19" ht="15" customHeight="1" x14ac:dyDescent="0.25">
      <c r="A2" s="722"/>
      <c r="B2" s="740" t="s">
        <v>444</v>
      </c>
      <c r="C2" s="740"/>
      <c r="D2" s="740"/>
      <c r="F2" s="722"/>
      <c r="G2" s="740" t="s">
        <v>444</v>
      </c>
      <c r="H2" s="740"/>
      <c r="I2" s="740"/>
      <c r="K2" s="549"/>
      <c r="L2" s="550">
        <v>2020</v>
      </c>
      <c r="M2" s="551"/>
      <c r="N2" s="551"/>
      <c r="O2" s="251"/>
      <c r="P2" s="280"/>
      <c r="Q2" s="282">
        <v>2018</v>
      </c>
      <c r="R2" s="282"/>
      <c r="S2" s="282"/>
    </row>
    <row r="3" spans="1:19" ht="60" x14ac:dyDescent="0.25">
      <c r="A3" s="722"/>
      <c r="B3" s="460" t="s">
        <v>159</v>
      </c>
      <c r="C3" s="461" t="s">
        <v>206</v>
      </c>
      <c r="D3" s="461" t="s">
        <v>387</v>
      </c>
      <c r="F3" s="722"/>
      <c r="G3" s="460" t="s">
        <v>159</v>
      </c>
      <c r="H3" s="461" t="s">
        <v>206</v>
      </c>
      <c r="I3" s="461" t="s">
        <v>207</v>
      </c>
      <c r="K3" s="549"/>
      <c r="L3" s="550" t="s">
        <v>200</v>
      </c>
      <c r="M3" s="552" t="s">
        <v>201</v>
      </c>
      <c r="N3" s="553" t="s">
        <v>202</v>
      </c>
      <c r="O3" s="285"/>
      <c r="P3" s="286"/>
      <c r="Q3" s="281" t="s">
        <v>200</v>
      </c>
      <c r="R3" s="283" t="s">
        <v>201</v>
      </c>
      <c r="S3" s="284" t="s">
        <v>202</v>
      </c>
    </row>
    <row r="4" spans="1:19" x14ac:dyDescent="0.25">
      <c r="A4" s="346" t="s">
        <v>18</v>
      </c>
      <c r="B4" s="351">
        <f t="shared" ref="B4:B27" si="0">C4+D4</f>
        <v>3039.6010198415142</v>
      </c>
      <c r="C4" s="348">
        <f t="shared" ref="C4:C25" si="1">L4</f>
        <v>3039.6010198415142</v>
      </c>
      <c r="D4" s="349">
        <f>I46</f>
        <v>0</v>
      </c>
      <c r="E4" s="287"/>
      <c r="F4" s="346" t="s">
        <v>18</v>
      </c>
      <c r="G4" s="351">
        <f t="shared" ref="G4:G27" si="2">H4+I4</f>
        <v>816.42718107151484</v>
      </c>
      <c r="H4" s="348">
        <f t="shared" ref="H4:H25" si="3">Q4</f>
        <v>816.42718107151484</v>
      </c>
      <c r="I4" s="349"/>
      <c r="K4" s="554" t="s">
        <v>18</v>
      </c>
      <c r="L4" s="555">
        <f t="shared" ref="L4:L25" si="4">M4+N4</f>
        <v>3039.6010198415142</v>
      </c>
      <c r="M4" s="556">
        <f>'ANNEXE 1 Grille'!B2*(N$28-M$25)</f>
        <v>2432.8447967363168</v>
      </c>
      <c r="N4" s="557">
        <f>IF(M4&lt;&gt;0,M$28/C$31,M4)</f>
        <v>606.75622310519771</v>
      </c>
      <c r="P4" s="288" t="s">
        <v>18</v>
      </c>
      <c r="Q4" s="289">
        <f>R4+S4</f>
        <v>816.42718107151484</v>
      </c>
      <c r="R4" s="290">
        <f>'ANNEXE 1 Grille'!B2*(S$28-R$25)</f>
        <v>653.45438642058912</v>
      </c>
      <c r="S4" s="291">
        <f t="shared" ref="S4:S24" si="5">IF(R4&lt;&gt;0,R$28/H$31,R4)</f>
        <v>162.97279465092575</v>
      </c>
    </row>
    <row r="5" spans="1:19" x14ac:dyDescent="0.25">
      <c r="A5" s="346" t="s">
        <v>19</v>
      </c>
      <c r="B5" s="351">
        <f t="shared" si="0"/>
        <v>0</v>
      </c>
      <c r="C5" s="348">
        <f t="shared" si="1"/>
        <v>0</v>
      </c>
      <c r="D5" s="349">
        <v>0</v>
      </c>
      <c r="E5" s="274"/>
      <c r="F5" s="346" t="s">
        <v>19</v>
      </c>
      <c r="G5" s="351">
        <f t="shared" si="2"/>
        <v>0</v>
      </c>
      <c r="H5" s="348">
        <f t="shared" si="3"/>
        <v>0</v>
      </c>
      <c r="I5" s="349"/>
      <c r="K5" s="554" t="s">
        <v>19</v>
      </c>
      <c r="L5" s="555">
        <f t="shared" si="4"/>
        <v>0</v>
      </c>
      <c r="M5" s="556"/>
      <c r="N5" s="557">
        <f t="shared" ref="N5:N24" si="6">IF(M5&lt;&gt;0,M$28/C$31,M5)</f>
        <v>0</v>
      </c>
      <c r="P5" s="288" t="s">
        <v>19</v>
      </c>
      <c r="Q5" s="289">
        <f t="shared" ref="Q5:Q25" si="7">R5+S5</f>
        <v>0</v>
      </c>
      <c r="R5" s="290"/>
      <c r="S5" s="291">
        <f t="shared" si="5"/>
        <v>0</v>
      </c>
    </row>
    <row r="6" spans="1:19" x14ac:dyDescent="0.25">
      <c r="A6" s="346" t="s">
        <v>20</v>
      </c>
      <c r="B6" s="351">
        <f t="shared" si="0"/>
        <v>1382.525049546151</v>
      </c>
      <c r="C6" s="348">
        <f t="shared" si="1"/>
        <v>1382.525049546151</v>
      </c>
      <c r="D6" s="349">
        <f>N46</f>
        <v>0</v>
      </c>
      <c r="E6" s="274"/>
      <c r="F6" s="346" t="s">
        <v>20</v>
      </c>
      <c r="G6" s="351">
        <f t="shared" si="2"/>
        <v>371.34183782468023</v>
      </c>
      <c r="H6" s="348">
        <f t="shared" si="3"/>
        <v>371.34183782468023</v>
      </c>
      <c r="I6" s="349"/>
      <c r="K6" s="554" t="s">
        <v>20</v>
      </c>
      <c r="L6" s="555">
        <f t="shared" si="4"/>
        <v>1382.525049546151</v>
      </c>
      <c r="M6" s="556">
        <f>'ANNEXE 1 Grille'!B4*(N$28-M$25)</f>
        <v>775.76882644095315</v>
      </c>
      <c r="N6" s="557">
        <f t="shared" si="6"/>
        <v>606.75622310519771</v>
      </c>
      <c r="P6" s="288" t="s">
        <v>20</v>
      </c>
      <c r="Q6" s="289">
        <f t="shared" si="7"/>
        <v>371.34183782468023</v>
      </c>
      <c r="R6" s="290">
        <f>'ANNEXE 1 Grille'!B4*(S$28-R$25)</f>
        <v>208.36904317375448</v>
      </c>
      <c r="S6" s="291">
        <f t="shared" si="5"/>
        <v>162.97279465092575</v>
      </c>
    </row>
    <row r="7" spans="1:19" x14ac:dyDescent="0.25">
      <c r="A7" s="346" t="s">
        <v>21</v>
      </c>
      <c r="B7" s="351">
        <f>C7+D7</f>
        <v>12211.568279831641</v>
      </c>
      <c r="C7" s="348">
        <f t="shared" si="1"/>
        <v>9305.4234679730325</v>
      </c>
      <c r="D7" s="349">
        <f>E46</f>
        <v>2906.144811858609</v>
      </c>
      <c r="E7" s="287"/>
      <c r="F7" s="346" t="s">
        <v>21</v>
      </c>
      <c r="G7" s="351">
        <f t="shared" si="2"/>
        <v>2499.4071922735639</v>
      </c>
      <c r="H7" s="348">
        <f t="shared" si="3"/>
        <v>2499.4071922735639</v>
      </c>
      <c r="I7" s="349"/>
      <c r="K7" s="554" t="s">
        <v>21</v>
      </c>
      <c r="L7" s="555">
        <f>M7+N7</f>
        <v>9305.4234679730325</v>
      </c>
      <c r="M7" s="556">
        <f>'ANNEXE 1 Grille'!B5*(N$28-M$25)</f>
        <v>8698.6672448678346</v>
      </c>
      <c r="N7" s="557">
        <f>IF(M7&lt;&gt;0,M$28/C$31,M7)</f>
        <v>606.75622310519771</v>
      </c>
      <c r="P7" s="288" t="s">
        <v>21</v>
      </c>
      <c r="Q7" s="289">
        <f t="shared" si="7"/>
        <v>2499.4071922735639</v>
      </c>
      <c r="R7" s="290">
        <f>'ANNEXE 1 Grille'!B5*(S$28-R$25)</f>
        <v>2336.4343976226382</v>
      </c>
      <c r="S7" s="291">
        <f t="shared" si="5"/>
        <v>162.97279465092575</v>
      </c>
    </row>
    <row r="8" spans="1:19" x14ac:dyDescent="0.25">
      <c r="A8" s="346" t="s">
        <v>22</v>
      </c>
      <c r="B8" s="351">
        <f t="shared" si="0"/>
        <v>7725.7046292796713</v>
      </c>
      <c r="C8" s="348">
        <f t="shared" si="1"/>
        <v>4819.5598174210627</v>
      </c>
      <c r="D8" s="349">
        <f>G46</f>
        <v>2906.144811858609</v>
      </c>
      <c r="E8" s="287"/>
      <c r="F8" s="346" t="s">
        <v>22</v>
      </c>
      <c r="G8" s="351">
        <f t="shared" si="2"/>
        <v>1294.51846148801</v>
      </c>
      <c r="H8" s="348">
        <f t="shared" si="3"/>
        <v>1294.51846148801</v>
      </c>
      <c r="I8" s="349"/>
      <c r="J8" s="247"/>
      <c r="K8" s="554" t="s">
        <v>22</v>
      </c>
      <c r="L8" s="555">
        <f t="shared" si="4"/>
        <v>4819.5598174210627</v>
      </c>
      <c r="M8" s="556">
        <f>'ANNEXE 1 Grille'!B6*(N$28-M$25)</f>
        <v>4212.8035943158648</v>
      </c>
      <c r="N8" s="557">
        <f t="shared" si="6"/>
        <v>606.75622310519771</v>
      </c>
      <c r="P8" s="288" t="s">
        <v>22</v>
      </c>
      <c r="Q8" s="289">
        <f t="shared" si="7"/>
        <v>1294.51846148801</v>
      </c>
      <c r="R8" s="290">
        <f>'ANNEXE 1 Grille'!B6*(S$28-R$25)</f>
        <v>1131.5456668370841</v>
      </c>
      <c r="S8" s="291">
        <f t="shared" si="5"/>
        <v>162.97279465092575</v>
      </c>
    </row>
    <row r="9" spans="1:19" x14ac:dyDescent="0.25">
      <c r="A9" s="346" t="s">
        <v>23</v>
      </c>
      <c r="B9" s="351">
        <f t="shared" si="0"/>
        <v>847.25733950674442</v>
      </c>
      <c r="C9" s="348">
        <f t="shared" si="1"/>
        <v>847.25733950674442</v>
      </c>
      <c r="D9" s="349">
        <f>0</f>
        <v>0</v>
      </c>
      <c r="E9" s="274"/>
      <c r="F9" s="346" t="s">
        <v>23</v>
      </c>
      <c r="G9" s="351">
        <f t="shared" si="2"/>
        <v>227.57063075722658</v>
      </c>
      <c r="H9" s="348">
        <f t="shared" si="3"/>
        <v>227.57063075722658</v>
      </c>
      <c r="I9" s="349"/>
      <c r="K9" s="554" t="s">
        <v>23</v>
      </c>
      <c r="L9" s="555">
        <f t="shared" si="4"/>
        <v>847.25733950674442</v>
      </c>
      <c r="M9" s="556">
        <f>'ANNEXE 1 Grille'!B7*(N$28-M$25)</f>
        <v>240.50111640154668</v>
      </c>
      <c r="N9" s="557">
        <f t="shared" si="6"/>
        <v>606.75622310519771</v>
      </c>
      <c r="P9" s="288" t="s">
        <v>23</v>
      </c>
      <c r="Q9" s="289">
        <f t="shared" si="7"/>
        <v>227.57063075722658</v>
      </c>
      <c r="R9" s="290">
        <f>'ANNEXE 1 Grille'!B7*(S$28-R$25)</f>
        <v>64.597836106300832</v>
      </c>
      <c r="S9" s="291">
        <f t="shared" si="5"/>
        <v>162.97279465092575</v>
      </c>
    </row>
    <row r="10" spans="1:19" x14ac:dyDescent="0.25">
      <c r="A10" s="346" t="s">
        <v>24</v>
      </c>
      <c r="B10" s="351">
        <f t="shared" si="0"/>
        <v>0</v>
      </c>
      <c r="C10" s="348">
        <f t="shared" si="1"/>
        <v>0</v>
      </c>
      <c r="D10" s="349">
        <v>0</v>
      </c>
      <c r="E10" s="274"/>
      <c r="F10" s="346" t="s">
        <v>24</v>
      </c>
      <c r="G10" s="351">
        <f t="shared" si="2"/>
        <v>0</v>
      </c>
      <c r="H10" s="348">
        <f t="shared" si="3"/>
        <v>0</v>
      </c>
      <c r="I10" s="349"/>
      <c r="K10" s="554" t="s">
        <v>24</v>
      </c>
      <c r="L10" s="555">
        <f t="shared" si="4"/>
        <v>0</v>
      </c>
      <c r="M10" s="556"/>
      <c r="N10" s="557">
        <f t="shared" si="6"/>
        <v>0</v>
      </c>
      <c r="P10" s="288" t="s">
        <v>24</v>
      </c>
      <c r="Q10" s="289">
        <f t="shared" si="7"/>
        <v>0</v>
      </c>
      <c r="R10" s="290"/>
      <c r="S10" s="291">
        <f t="shared" si="5"/>
        <v>0</v>
      </c>
    </row>
    <row r="11" spans="1:19" x14ac:dyDescent="0.25">
      <c r="A11" s="346" t="s">
        <v>25</v>
      </c>
      <c r="B11" s="351">
        <f t="shared" si="0"/>
        <v>0</v>
      </c>
      <c r="C11" s="348">
        <f t="shared" si="1"/>
        <v>0</v>
      </c>
      <c r="D11" s="349">
        <v>0</v>
      </c>
      <c r="E11" s="274"/>
      <c r="F11" s="346" t="s">
        <v>25</v>
      </c>
      <c r="G11" s="351">
        <f t="shared" si="2"/>
        <v>0</v>
      </c>
      <c r="H11" s="348">
        <f t="shared" si="3"/>
        <v>0</v>
      </c>
      <c r="I11" s="349"/>
      <c r="K11" s="554" t="s">
        <v>25</v>
      </c>
      <c r="L11" s="555">
        <f t="shared" si="4"/>
        <v>0</v>
      </c>
      <c r="M11" s="556"/>
      <c r="N11" s="557">
        <f t="shared" si="6"/>
        <v>0</v>
      </c>
      <c r="P11" s="288" t="s">
        <v>25</v>
      </c>
      <c r="Q11" s="289">
        <f t="shared" si="7"/>
        <v>0</v>
      </c>
      <c r="R11" s="290"/>
      <c r="S11" s="291">
        <f t="shared" si="5"/>
        <v>0</v>
      </c>
    </row>
    <row r="12" spans="1:19" x14ac:dyDescent="0.25">
      <c r="A12" s="346" t="s">
        <v>26</v>
      </c>
      <c r="B12" s="351">
        <f t="shared" si="0"/>
        <v>8826.9760877441986</v>
      </c>
      <c r="C12" s="348">
        <f t="shared" si="1"/>
        <v>8826.9760877441986</v>
      </c>
      <c r="D12" s="349">
        <f>0</f>
        <v>0</v>
      </c>
      <c r="E12" s="274"/>
      <c r="F12" s="346" t="s">
        <v>26</v>
      </c>
      <c r="G12" s="351">
        <f t="shared" si="2"/>
        <v>2370.8977453489661</v>
      </c>
      <c r="H12" s="348">
        <f t="shared" si="3"/>
        <v>2370.8977453489661</v>
      </c>
      <c r="I12" s="349"/>
      <c r="K12" s="554" t="s">
        <v>26</v>
      </c>
      <c r="L12" s="555">
        <f t="shared" si="4"/>
        <v>8826.9760877441986</v>
      </c>
      <c r="M12" s="556">
        <f>'ANNEXE 1 Grille'!B10*(N$28-M$25)</f>
        <v>8220.2198646390007</v>
      </c>
      <c r="N12" s="557">
        <f t="shared" si="6"/>
        <v>606.75622310519771</v>
      </c>
      <c r="P12" s="288" t="s">
        <v>26</v>
      </c>
      <c r="Q12" s="289">
        <f t="shared" si="7"/>
        <v>2370.8977453489661</v>
      </c>
      <c r="R12" s="290">
        <f>'ANNEXE 1 Grille'!B10*(S$28-R$25)</f>
        <v>2207.9249506980404</v>
      </c>
      <c r="S12" s="291">
        <f t="shared" si="5"/>
        <v>162.97279465092575</v>
      </c>
    </row>
    <row r="13" spans="1:19" x14ac:dyDescent="0.25">
      <c r="A13" s="346" t="s">
        <v>27</v>
      </c>
      <c r="B13" s="351">
        <f t="shared" si="0"/>
        <v>7768.4450689766963</v>
      </c>
      <c r="C13" s="348">
        <f t="shared" si="1"/>
        <v>4862.3002571180878</v>
      </c>
      <c r="D13" s="349">
        <f>F46</f>
        <v>2906.144811858609</v>
      </c>
      <c r="E13" s="274"/>
      <c r="F13" s="346" t="s">
        <v>27</v>
      </c>
      <c r="G13" s="351">
        <f t="shared" si="2"/>
        <v>1305.9984078598591</v>
      </c>
      <c r="H13" s="348">
        <f t="shared" si="3"/>
        <v>1305.9984078598591</v>
      </c>
      <c r="I13" s="349"/>
      <c r="K13" s="554" t="s">
        <v>27</v>
      </c>
      <c r="L13" s="555">
        <f t="shared" si="4"/>
        <v>4862.3002571180878</v>
      </c>
      <c r="M13" s="556">
        <f>'ANNEXE 1 Grille'!B11*(N$28-M$25)</f>
        <v>4255.5440340128898</v>
      </c>
      <c r="N13" s="557">
        <f t="shared" si="6"/>
        <v>606.75622310519771</v>
      </c>
      <c r="P13" s="288" t="s">
        <v>27</v>
      </c>
      <c r="Q13" s="289">
        <f t="shared" si="7"/>
        <v>1305.9984078598591</v>
      </c>
      <c r="R13" s="290">
        <f>'ANNEXE 1 Grille'!B11*(S$28-R$25)</f>
        <v>1143.0256132089332</v>
      </c>
      <c r="S13" s="291">
        <f t="shared" si="5"/>
        <v>162.97279465092575</v>
      </c>
    </row>
    <row r="14" spans="1:19" x14ac:dyDescent="0.25">
      <c r="A14" s="346" t="s">
        <v>28</v>
      </c>
      <c r="B14" s="351">
        <f t="shared" si="0"/>
        <v>7272.502977781749</v>
      </c>
      <c r="C14" s="348">
        <f t="shared" si="1"/>
        <v>4366.3581659231404</v>
      </c>
      <c r="D14" s="349">
        <f>J46</f>
        <v>2906.144811858609</v>
      </c>
      <c r="E14" s="287"/>
      <c r="F14" s="346" t="s">
        <v>28</v>
      </c>
      <c r="G14" s="351">
        <f t="shared" si="2"/>
        <v>1172.789937127699</v>
      </c>
      <c r="H14" s="348">
        <f t="shared" si="3"/>
        <v>1172.789937127699</v>
      </c>
      <c r="I14" s="349"/>
      <c r="K14" s="554" t="s">
        <v>28</v>
      </c>
      <c r="L14" s="555">
        <f t="shared" si="4"/>
        <v>4366.3581659231404</v>
      </c>
      <c r="M14" s="556">
        <f>'ANNEXE 1 Grille'!B12*(N$28-M$25)</f>
        <v>3759.6019428179425</v>
      </c>
      <c r="N14" s="557">
        <f t="shared" si="6"/>
        <v>606.75622310519771</v>
      </c>
      <c r="P14" s="288" t="s">
        <v>28</v>
      </c>
      <c r="Q14" s="289">
        <f t="shared" si="7"/>
        <v>1172.789937127699</v>
      </c>
      <c r="R14" s="290">
        <f>'ANNEXE 1 Grille'!B12*(S$28-R$25)</f>
        <v>1009.8171424767731</v>
      </c>
      <c r="S14" s="291">
        <f t="shared" si="5"/>
        <v>162.97279465092575</v>
      </c>
    </row>
    <row r="15" spans="1:19" x14ac:dyDescent="0.25">
      <c r="A15" s="346" t="s">
        <v>29</v>
      </c>
      <c r="B15" s="351">
        <f t="shared" si="0"/>
        <v>0</v>
      </c>
      <c r="C15" s="348">
        <f t="shared" si="1"/>
        <v>0</v>
      </c>
      <c r="D15" s="349">
        <f>0</f>
        <v>0</v>
      </c>
      <c r="E15" s="274"/>
      <c r="F15" s="346" t="s">
        <v>29</v>
      </c>
      <c r="G15" s="351">
        <f t="shared" si="2"/>
        <v>0</v>
      </c>
      <c r="H15" s="348">
        <f t="shared" si="3"/>
        <v>0</v>
      </c>
      <c r="I15" s="349"/>
      <c r="K15" s="554" t="s">
        <v>29</v>
      </c>
      <c r="L15" s="555">
        <f t="shared" si="4"/>
        <v>0</v>
      </c>
      <c r="M15" s="556"/>
      <c r="N15" s="557">
        <f t="shared" si="6"/>
        <v>0</v>
      </c>
      <c r="P15" s="288" t="s">
        <v>29</v>
      </c>
      <c r="Q15" s="289">
        <f t="shared" si="7"/>
        <v>0</v>
      </c>
      <c r="R15" s="290"/>
      <c r="S15" s="291">
        <f t="shared" si="5"/>
        <v>0</v>
      </c>
    </row>
    <row r="16" spans="1:19" x14ac:dyDescent="0.25">
      <c r="A16" s="346" t="s">
        <v>30</v>
      </c>
      <c r="B16" s="351">
        <f t="shared" si="0"/>
        <v>3247.2148932135515</v>
      </c>
      <c r="C16" s="348">
        <f t="shared" si="1"/>
        <v>2800.11569138915</v>
      </c>
      <c r="D16" s="349">
        <f>L46</f>
        <v>447.0992018244014</v>
      </c>
      <c r="E16" s="287"/>
      <c r="F16" s="346" t="s">
        <v>30</v>
      </c>
      <c r="G16" s="351">
        <f t="shared" si="2"/>
        <v>752.10218238252764</v>
      </c>
      <c r="H16" s="348">
        <f t="shared" si="3"/>
        <v>752.10218238252764</v>
      </c>
      <c r="I16" s="349"/>
      <c r="K16" s="554" t="s">
        <v>30</v>
      </c>
      <c r="L16" s="555">
        <f t="shared" si="4"/>
        <v>2800.11569138915</v>
      </c>
      <c r="M16" s="556">
        <f>'ANNEXE 1 Grille'!B14*(N$28-M$25)</f>
        <v>2193.3594682839525</v>
      </c>
      <c r="N16" s="557">
        <f t="shared" si="6"/>
        <v>606.75622310519771</v>
      </c>
      <c r="P16" s="288" t="s">
        <v>30</v>
      </c>
      <c r="Q16" s="289">
        <f t="shared" si="7"/>
        <v>752.10218238252764</v>
      </c>
      <c r="R16" s="290">
        <f>'ANNEXE 1 Grille'!B14*(S$28-R$25)</f>
        <v>589.12938773160192</v>
      </c>
      <c r="S16" s="291">
        <f t="shared" si="5"/>
        <v>162.97279465092575</v>
      </c>
    </row>
    <row r="17" spans="1:19" x14ac:dyDescent="0.25">
      <c r="A17" s="346" t="s">
        <v>31</v>
      </c>
      <c r="B17" s="351">
        <f t="shared" si="0"/>
        <v>8202.4858768520335</v>
      </c>
      <c r="C17" s="348">
        <f t="shared" si="1"/>
        <v>5296.3410649934249</v>
      </c>
      <c r="D17" s="349">
        <f>D46</f>
        <v>2906.144811858609</v>
      </c>
      <c r="E17" s="287"/>
      <c r="F17" s="346" t="s">
        <v>31</v>
      </c>
      <c r="G17" s="351">
        <f t="shared" si="2"/>
        <v>1422.5803904722159</v>
      </c>
      <c r="H17" s="348">
        <f t="shared" si="3"/>
        <v>1422.5803904722159</v>
      </c>
      <c r="I17" s="349"/>
      <c r="K17" s="554" t="s">
        <v>31</v>
      </c>
      <c r="L17" s="555">
        <f t="shared" si="4"/>
        <v>5296.3410649934249</v>
      </c>
      <c r="M17" s="556">
        <f>'ANNEXE 1 Grille'!B15*(N$28-M$25)</f>
        <v>4689.5848418882269</v>
      </c>
      <c r="N17" s="557">
        <f t="shared" si="6"/>
        <v>606.75622310519771</v>
      </c>
      <c r="P17" s="288" t="s">
        <v>31</v>
      </c>
      <c r="Q17" s="289">
        <f t="shared" si="7"/>
        <v>1422.5803904722159</v>
      </c>
      <c r="R17" s="290">
        <f>'ANNEXE 1 Grille'!B15*(S$28-R$25)</f>
        <v>1259.60759582129</v>
      </c>
      <c r="S17" s="291">
        <f t="shared" si="5"/>
        <v>162.97279465092575</v>
      </c>
    </row>
    <row r="18" spans="1:19" x14ac:dyDescent="0.25">
      <c r="A18" s="346" t="s">
        <v>32</v>
      </c>
      <c r="B18" s="351">
        <f t="shared" si="0"/>
        <v>1592.3026987260398</v>
      </c>
      <c r="C18" s="348">
        <f t="shared" si="1"/>
        <v>1592.3026987260398</v>
      </c>
      <c r="D18" s="349">
        <f>M46</f>
        <v>0</v>
      </c>
      <c r="E18" s="287"/>
      <c r="F18" s="346" t="s">
        <v>32</v>
      </c>
      <c r="G18" s="351">
        <f t="shared" si="2"/>
        <v>427.68744820372785</v>
      </c>
      <c r="H18" s="348">
        <f t="shared" si="3"/>
        <v>427.68744820372785</v>
      </c>
      <c r="I18" s="349"/>
      <c r="K18" s="554" t="s">
        <v>32</v>
      </c>
      <c r="L18" s="555">
        <f t="shared" si="4"/>
        <v>1592.3026987260398</v>
      </c>
      <c r="M18" s="556">
        <f>'ANNEXE 1 Grille'!B16*(N$28-M$25)</f>
        <v>985.5464756208421</v>
      </c>
      <c r="N18" s="557">
        <f t="shared" si="6"/>
        <v>606.75622310519771</v>
      </c>
      <c r="P18" s="288" t="s">
        <v>32</v>
      </c>
      <c r="Q18" s="289">
        <f t="shared" si="7"/>
        <v>427.68744820372785</v>
      </c>
      <c r="R18" s="290">
        <f>'ANNEXE 1 Grille'!B16*(S$28-R$25)</f>
        <v>264.71465355280213</v>
      </c>
      <c r="S18" s="291">
        <f t="shared" si="5"/>
        <v>162.97279465092575</v>
      </c>
    </row>
    <row r="19" spans="1:19" x14ac:dyDescent="0.25">
      <c r="A19" s="346" t="s">
        <v>33</v>
      </c>
      <c r="B19" s="351">
        <f t="shared" si="0"/>
        <v>2389.0485292856656</v>
      </c>
      <c r="C19" s="348">
        <f t="shared" si="1"/>
        <v>2389.0485292856656</v>
      </c>
      <c r="D19" s="349">
        <f>K46</f>
        <v>0</v>
      </c>
      <c r="E19" s="287"/>
      <c r="F19" s="346" t="s">
        <v>33</v>
      </c>
      <c r="G19" s="351">
        <f t="shared" si="2"/>
        <v>641.6908480671068</v>
      </c>
      <c r="H19" s="348">
        <f t="shared" si="3"/>
        <v>641.6908480671068</v>
      </c>
      <c r="I19" s="349"/>
      <c r="K19" s="554" t="s">
        <v>33</v>
      </c>
      <c r="L19" s="555">
        <f t="shared" si="4"/>
        <v>2389.0485292856656</v>
      </c>
      <c r="M19" s="556">
        <f>'ANNEXE 1 Grille'!B17*(N$28-M$25)</f>
        <v>1782.2923061804679</v>
      </c>
      <c r="N19" s="557">
        <f t="shared" si="6"/>
        <v>606.75622310519771</v>
      </c>
      <c r="P19" s="288" t="s">
        <v>33</v>
      </c>
      <c r="Q19" s="289">
        <f t="shared" si="7"/>
        <v>641.6908480671068</v>
      </c>
      <c r="R19" s="290">
        <f>'ANNEXE 1 Grille'!B17*(S$28-R$25)</f>
        <v>478.71805341618108</v>
      </c>
      <c r="S19" s="291">
        <f t="shared" si="5"/>
        <v>162.97279465092575</v>
      </c>
    </row>
    <row r="20" spans="1:19" x14ac:dyDescent="0.25">
      <c r="A20" s="346" t="s">
        <v>34</v>
      </c>
      <c r="B20" s="351">
        <f t="shared" si="0"/>
        <v>1697.6849220833421</v>
      </c>
      <c r="C20" s="348">
        <f t="shared" si="1"/>
        <v>1697.6849220833421</v>
      </c>
      <c r="D20" s="349">
        <f>0</f>
        <v>0</v>
      </c>
      <c r="E20" s="274"/>
      <c r="F20" s="346" t="s">
        <v>34</v>
      </c>
      <c r="G20" s="351">
        <f t="shared" si="2"/>
        <v>455.99277873527808</v>
      </c>
      <c r="H20" s="348">
        <f t="shared" si="3"/>
        <v>455.99277873527808</v>
      </c>
      <c r="I20" s="349"/>
      <c r="K20" s="554" t="s">
        <v>34</v>
      </c>
      <c r="L20" s="555">
        <f t="shared" si="4"/>
        <v>1697.6849220833421</v>
      </c>
      <c r="M20" s="556">
        <f>'ANNEXE 1 Grille'!B18*(N$28-M$25)</f>
        <v>1090.9286989781444</v>
      </c>
      <c r="N20" s="557">
        <f t="shared" si="6"/>
        <v>606.75622310519771</v>
      </c>
      <c r="P20" s="288" t="s">
        <v>34</v>
      </c>
      <c r="Q20" s="289">
        <f t="shared" si="7"/>
        <v>455.99277873527808</v>
      </c>
      <c r="R20" s="290">
        <f>'ANNEXE 1 Grille'!B18*(S$28-R$25)</f>
        <v>293.0199840843523</v>
      </c>
      <c r="S20" s="291">
        <f t="shared" si="5"/>
        <v>162.97279465092575</v>
      </c>
    </row>
    <row r="21" spans="1:19" x14ac:dyDescent="0.25">
      <c r="A21" s="346" t="s">
        <v>35</v>
      </c>
      <c r="B21" s="351">
        <f t="shared" si="0"/>
        <v>0</v>
      </c>
      <c r="C21" s="348">
        <f t="shared" si="1"/>
        <v>0</v>
      </c>
      <c r="D21" s="349">
        <f>0</f>
        <v>0</v>
      </c>
      <c r="E21" s="274"/>
      <c r="F21" s="346" t="s">
        <v>35</v>
      </c>
      <c r="G21" s="351">
        <f t="shared" si="2"/>
        <v>0</v>
      </c>
      <c r="H21" s="348">
        <f t="shared" si="3"/>
        <v>0</v>
      </c>
      <c r="I21" s="349"/>
      <c r="K21" s="554" t="s">
        <v>35</v>
      </c>
      <c r="L21" s="555">
        <f t="shared" si="4"/>
        <v>0</v>
      </c>
      <c r="M21" s="556"/>
      <c r="N21" s="557">
        <f t="shared" si="6"/>
        <v>0</v>
      </c>
      <c r="P21" s="288" t="s">
        <v>35</v>
      </c>
      <c r="Q21" s="289">
        <f t="shared" si="7"/>
        <v>0</v>
      </c>
      <c r="R21" s="290"/>
      <c r="S21" s="291">
        <f t="shared" si="5"/>
        <v>0</v>
      </c>
    </row>
    <row r="22" spans="1:19" x14ac:dyDescent="0.25">
      <c r="A22" s="346" t="s">
        <v>36</v>
      </c>
      <c r="B22" s="351">
        <f t="shared" si="0"/>
        <v>9649.7197995088827</v>
      </c>
      <c r="C22" s="348">
        <f t="shared" si="1"/>
        <v>6743.5749876502732</v>
      </c>
      <c r="D22" s="349">
        <f>H46</f>
        <v>2906.144811858609</v>
      </c>
      <c r="E22" s="287"/>
      <c r="F22" s="346" t="s">
        <v>36</v>
      </c>
      <c r="G22" s="351">
        <f t="shared" si="2"/>
        <v>1811.3028261185259</v>
      </c>
      <c r="H22" s="348">
        <f t="shared" si="3"/>
        <v>1811.3028261185259</v>
      </c>
      <c r="I22" s="349"/>
      <c r="K22" s="554" t="s">
        <v>36</v>
      </c>
      <c r="L22" s="555">
        <f t="shared" si="4"/>
        <v>6743.5749876502732</v>
      </c>
      <c r="M22" s="556">
        <f>'ANNEXE 1 Grille'!B20*(N$28-M$25)</f>
        <v>6136.8187645450753</v>
      </c>
      <c r="N22" s="557">
        <f t="shared" si="6"/>
        <v>606.75622310519771</v>
      </c>
      <c r="P22" s="288" t="s">
        <v>36</v>
      </c>
      <c r="Q22" s="289">
        <f t="shared" si="7"/>
        <v>1811.3028261185259</v>
      </c>
      <c r="R22" s="290">
        <f>'ANNEXE 1 Grille'!B20*(S$28-R$25)</f>
        <v>1648.3300314676001</v>
      </c>
      <c r="S22" s="291">
        <f t="shared" si="5"/>
        <v>162.97279465092575</v>
      </c>
    </row>
    <row r="23" spans="1:19" x14ac:dyDescent="0.25">
      <c r="A23" s="346" t="s">
        <v>37</v>
      </c>
      <c r="B23" s="351">
        <f t="shared" si="0"/>
        <v>0</v>
      </c>
      <c r="C23" s="348">
        <f t="shared" si="1"/>
        <v>0</v>
      </c>
      <c r="D23" s="349">
        <v>0</v>
      </c>
      <c r="E23" s="274"/>
      <c r="F23" s="346" t="s">
        <v>37</v>
      </c>
      <c r="G23" s="351">
        <f t="shared" si="2"/>
        <v>0</v>
      </c>
      <c r="H23" s="348">
        <f t="shared" si="3"/>
        <v>0</v>
      </c>
      <c r="I23" s="349"/>
      <c r="K23" s="554" t="s">
        <v>37</v>
      </c>
      <c r="L23" s="555">
        <f t="shared" si="4"/>
        <v>0</v>
      </c>
      <c r="M23" s="556"/>
      <c r="N23" s="557">
        <f t="shared" si="6"/>
        <v>0</v>
      </c>
      <c r="P23" s="288" t="s">
        <v>37</v>
      </c>
      <c r="Q23" s="289">
        <f t="shared" si="7"/>
        <v>0</v>
      </c>
      <c r="R23" s="290"/>
      <c r="S23" s="291">
        <f t="shared" si="5"/>
        <v>0</v>
      </c>
    </row>
    <row r="24" spans="1:19" hidden="1" x14ac:dyDescent="0.25">
      <c r="A24" s="346" t="s">
        <v>38</v>
      </c>
      <c r="B24" s="351">
        <f t="shared" si="0"/>
        <v>0</v>
      </c>
      <c r="C24" s="348">
        <f t="shared" si="1"/>
        <v>0</v>
      </c>
      <c r="D24" s="349">
        <v>0</v>
      </c>
      <c r="E24" s="274"/>
      <c r="F24" s="346" t="s">
        <v>38</v>
      </c>
      <c r="G24" s="351">
        <f t="shared" si="2"/>
        <v>0</v>
      </c>
      <c r="H24" s="348">
        <f t="shared" si="3"/>
        <v>0</v>
      </c>
      <c r="I24" s="349"/>
      <c r="K24" s="554" t="s">
        <v>38</v>
      </c>
      <c r="L24" s="555">
        <f t="shared" si="4"/>
        <v>0</v>
      </c>
      <c r="M24" s="556"/>
      <c r="N24" s="557">
        <f t="shared" si="6"/>
        <v>0</v>
      </c>
      <c r="P24" s="288" t="s">
        <v>38</v>
      </c>
      <c r="Q24" s="289">
        <f t="shared" si="7"/>
        <v>0</v>
      </c>
      <c r="R24" s="290"/>
      <c r="S24" s="291">
        <f t="shared" si="5"/>
        <v>0</v>
      </c>
    </row>
    <row r="25" spans="1:19" x14ac:dyDescent="0.25">
      <c r="A25" s="346" t="s">
        <v>39</v>
      </c>
      <c r="B25" s="351">
        <f t="shared" si="0"/>
        <v>0</v>
      </c>
      <c r="C25" s="348">
        <f t="shared" si="1"/>
        <v>0</v>
      </c>
      <c r="D25" s="349">
        <v>0</v>
      </c>
      <c r="E25" s="274"/>
      <c r="F25" s="346" t="s">
        <v>39</v>
      </c>
      <c r="G25" s="351">
        <f t="shared" si="2"/>
        <v>0</v>
      </c>
      <c r="H25" s="348">
        <f t="shared" si="3"/>
        <v>0</v>
      </c>
      <c r="I25" s="349"/>
      <c r="K25" s="554" t="s">
        <v>39</v>
      </c>
      <c r="L25" s="555">
        <f t="shared" si="4"/>
        <v>0</v>
      </c>
      <c r="M25" s="556">
        <v>0</v>
      </c>
      <c r="N25" s="557"/>
      <c r="P25" s="288" t="s">
        <v>39</v>
      </c>
      <c r="Q25" s="289">
        <f t="shared" si="7"/>
        <v>0</v>
      </c>
      <c r="R25" s="290">
        <v>0</v>
      </c>
      <c r="S25" s="291"/>
    </row>
    <row r="26" spans="1:19" x14ac:dyDescent="0.25">
      <c r="A26" s="346" t="s">
        <v>5</v>
      </c>
      <c r="B26" s="351">
        <f t="shared" si="0"/>
        <v>38646.046066134557</v>
      </c>
      <c r="C26" s="348">
        <f>C32*40/100</f>
        <v>38646.046066134557</v>
      </c>
      <c r="D26" s="466">
        <v>0</v>
      </c>
      <c r="E26" s="274"/>
      <c r="F26" s="346" t="s">
        <v>5</v>
      </c>
      <c r="G26" s="351">
        <f t="shared" si="2"/>
        <v>10380.205245153935</v>
      </c>
      <c r="H26" s="348">
        <f>H32*40/100</f>
        <v>10380.205245153935</v>
      </c>
      <c r="I26" s="466"/>
      <c r="K26" s="554"/>
      <c r="L26" s="555"/>
      <c r="M26" s="556"/>
      <c r="N26" s="557"/>
      <c r="P26" s="288"/>
      <c r="Q26" s="289"/>
      <c r="R26" s="290"/>
      <c r="S26" s="291"/>
    </row>
    <row r="27" spans="1:19" ht="42.75" customHeight="1" x14ac:dyDescent="0.25">
      <c r="A27" s="366" t="s">
        <v>50</v>
      </c>
      <c r="B27" s="468">
        <f t="shared" si="0"/>
        <v>114499.08323831244</v>
      </c>
      <c r="C27" s="370">
        <f>SUM(C4:C26)</f>
        <v>96615.115165336378</v>
      </c>
      <c r="D27" s="370">
        <f>SUM(D4:D26)</f>
        <v>17883.968072976055</v>
      </c>
      <c r="E27" s="274"/>
      <c r="F27" s="366" t="s">
        <v>50</v>
      </c>
      <c r="G27" s="468">
        <f t="shared" si="2"/>
        <v>25950.513112884837</v>
      </c>
      <c r="H27" s="370">
        <f>SUM(H4:H26)</f>
        <v>25950.513112884837</v>
      </c>
      <c r="I27" s="370"/>
      <c r="K27" s="173" t="s">
        <v>50</v>
      </c>
      <c r="L27" s="542">
        <f>SUM(L4:L26)</f>
        <v>57969.069099201821</v>
      </c>
      <c r="M27" s="558">
        <f>SUM(M4:M26)</f>
        <v>49474.481975729061</v>
      </c>
      <c r="N27" s="559">
        <f>SUM(N4:N26)</f>
        <v>8494.5871234727692</v>
      </c>
      <c r="P27" s="210" t="s">
        <v>50</v>
      </c>
      <c r="Q27" s="292">
        <f>SUM(Q4:Q26)</f>
        <v>15570.3078677309</v>
      </c>
      <c r="R27" s="293">
        <f>SUM(R4:R26)</f>
        <v>13288.688742617942</v>
      </c>
      <c r="S27" s="294">
        <f>SUM(S4:S26)</f>
        <v>2281.6191251129608</v>
      </c>
    </row>
    <row r="28" spans="1:19" ht="45" x14ac:dyDescent="0.25">
      <c r="A28" s="385" t="s">
        <v>51</v>
      </c>
      <c r="B28" s="370">
        <f>SUM(B4:B26)</f>
        <v>114499.08323831244</v>
      </c>
      <c r="C28" s="368">
        <f>SUM(C4:C26)</f>
        <v>96615.115165336378</v>
      </c>
      <c r="D28" s="368">
        <f>SUM(D4:D26)</f>
        <v>17883.968072976055</v>
      </c>
      <c r="E28" s="274"/>
      <c r="F28" s="385" t="s">
        <v>51</v>
      </c>
      <c r="G28" s="379">
        <f>SUM(G4:G26)</f>
        <v>25950.513112884837</v>
      </c>
      <c r="H28" s="351">
        <f>SUM(H4:H26)</f>
        <v>25950.513112884837</v>
      </c>
      <c r="I28" s="351"/>
      <c r="K28" s="560" t="s">
        <v>51</v>
      </c>
      <c r="L28" s="561"/>
      <c r="M28" s="561">
        <f>N28-SUM(M4:M25)</f>
        <v>8494.5871234727674</v>
      </c>
      <c r="N28" s="562">
        <f>C32*60/100</f>
        <v>57969.069099201828</v>
      </c>
      <c r="P28" s="295" t="s">
        <v>51</v>
      </c>
      <c r="Q28" s="296"/>
      <c r="R28" s="296">
        <f>S28-SUM(R4:R25)</f>
        <v>2281.6191251129603</v>
      </c>
      <c r="S28" s="297">
        <f>H32*60/100</f>
        <v>15570.307867730902</v>
      </c>
    </row>
    <row r="29" spans="1:19" s="299" customFormat="1" x14ac:dyDescent="0.25">
      <c r="A29" s="547" t="s">
        <v>40</v>
      </c>
      <c r="B29" s="548">
        <f>SUM(B4:B26)-C32-C41</f>
        <v>0</v>
      </c>
      <c r="C29" s="548"/>
      <c r="D29" s="548"/>
      <c r="E29" s="298"/>
      <c r="F29" s="547" t="s">
        <v>40</v>
      </c>
      <c r="G29" s="548">
        <f>G27-H32</f>
        <v>0</v>
      </c>
      <c r="H29" s="548"/>
      <c r="I29" s="548"/>
      <c r="K29" s="563" t="s">
        <v>40</v>
      </c>
      <c r="L29" s="564">
        <f>SUM(L4:L26)-(C32*60/100)</f>
        <v>0</v>
      </c>
      <c r="M29" s="565"/>
      <c r="N29" s="564"/>
      <c r="P29" s="300" t="s">
        <v>40</v>
      </c>
      <c r="Q29" s="301">
        <f>Q27-H32*60/100</f>
        <v>0</v>
      </c>
      <c r="R29" s="302"/>
      <c r="S29" s="301"/>
    </row>
    <row r="30" spans="1:19" ht="45" customHeight="1" x14ac:dyDescent="0.25">
      <c r="B30" s="303"/>
      <c r="C30" s="255"/>
      <c r="E30" s="274"/>
      <c r="G30" s="276"/>
      <c r="H30" s="304"/>
      <c r="I30" s="253"/>
      <c r="J30" s="253"/>
      <c r="K30" s="305"/>
      <c r="L30" s="306"/>
      <c r="N30" s="253"/>
    </row>
    <row r="31" spans="1:19" ht="15" customHeight="1" x14ac:dyDescent="0.25">
      <c r="A31" s="748" t="s">
        <v>255</v>
      </c>
      <c r="B31" s="748"/>
      <c r="C31" s="541">
        <f>SUBTOTAL(3,M4:M24)</f>
        <v>14</v>
      </c>
      <c r="F31" s="759" t="s">
        <v>255</v>
      </c>
      <c r="G31" s="759"/>
      <c r="H31" s="307">
        <f>SUBTOTAL(3,R4:R24)</f>
        <v>14</v>
      </c>
    </row>
    <row r="32" spans="1:19" ht="15" customHeight="1" x14ac:dyDescent="0.25">
      <c r="A32" s="749" t="s">
        <v>447</v>
      </c>
      <c r="B32" s="749"/>
      <c r="C32" s="542">
        <f>C34*C36</f>
        <v>96615.115165336378</v>
      </c>
      <c r="F32" s="749" t="s">
        <v>447</v>
      </c>
      <c r="G32" s="749"/>
      <c r="H32" s="542">
        <f>H34*H36</f>
        <v>25950.513112884837</v>
      </c>
    </row>
    <row r="33" spans="1:15" ht="30" customHeight="1" x14ac:dyDescent="0.25">
      <c r="A33" s="749" t="s">
        <v>439</v>
      </c>
      <c r="B33" s="749"/>
      <c r="C33" s="542">
        <f>C32*1.2</f>
        <v>115938.13819840366</v>
      </c>
      <c r="F33" s="749" t="s">
        <v>439</v>
      </c>
      <c r="G33" s="749"/>
      <c r="H33" s="542">
        <f>H35*H36</f>
        <v>31140.615735461804</v>
      </c>
    </row>
    <row r="34" spans="1:15" ht="30" customHeight="1" x14ac:dyDescent="0.25">
      <c r="A34" s="749" t="s">
        <v>211</v>
      </c>
      <c r="B34" s="749"/>
      <c r="C34" s="542">
        <v>92704</v>
      </c>
      <c r="F34" s="749" t="s">
        <v>211</v>
      </c>
      <c r="G34" s="749"/>
      <c r="H34" s="542">
        <v>24900</v>
      </c>
    </row>
    <row r="35" spans="1:15" ht="30" customHeight="1" x14ac:dyDescent="0.25">
      <c r="A35" s="749" t="s">
        <v>212</v>
      </c>
      <c r="B35" s="749"/>
      <c r="C35" s="542">
        <f>C34*1.2</f>
        <v>111244.8</v>
      </c>
      <c r="F35" s="749" t="s">
        <v>212</v>
      </c>
      <c r="G35" s="749"/>
      <c r="H35" s="542">
        <f>H34*1.2</f>
        <v>29880</v>
      </c>
    </row>
    <row r="36" spans="1:15" ht="15.75" customHeight="1" x14ac:dyDescent="0.25">
      <c r="A36" s="749" t="s">
        <v>401</v>
      </c>
      <c r="B36" s="749"/>
      <c r="C36" s="543">
        <f>2742/2631</f>
        <v>1.0421892816419613</v>
      </c>
      <c r="F36" s="749" t="s">
        <v>401</v>
      </c>
      <c r="G36" s="749"/>
      <c r="H36" s="543">
        <f>C36</f>
        <v>1.0421892816419613</v>
      </c>
      <c r="J36" s="248"/>
    </row>
    <row r="37" spans="1:15" ht="12" customHeight="1" x14ac:dyDescent="0.25">
      <c r="A37" s="488"/>
      <c r="B37" s="336"/>
      <c r="C37" s="336"/>
    </row>
    <row r="38" spans="1:15" hidden="1" x14ac:dyDescent="0.25">
      <c r="A38" s="727" t="s">
        <v>257</v>
      </c>
      <c r="B38" s="727"/>
      <c r="C38" s="727"/>
    </row>
    <row r="39" spans="1:15" hidden="1" x14ac:dyDescent="0.25">
      <c r="A39" s="482"/>
      <c r="B39" s="483"/>
      <c r="C39" s="486"/>
      <c r="D39" s="271"/>
      <c r="E39" s="271"/>
      <c r="F39" s="257"/>
    </row>
    <row r="40" spans="1:15" x14ac:dyDescent="0.25">
      <c r="A40" s="750" t="s">
        <v>213</v>
      </c>
      <c r="B40" s="750"/>
      <c r="C40" s="750"/>
    </row>
    <row r="41" spans="1:15" x14ac:dyDescent="0.25">
      <c r="A41" s="544" t="s">
        <v>258</v>
      </c>
      <c r="B41" s="545"/>
      <c r="C41" s="546">
        <f>O47</f>
        <v>17883.968072976055</v>
      </c>
      <c r="G41" s="253"/>
    </row>
    <row r="42" spans="1:15" ht="45" x14ac:dyDescent="0.25">
      <c r="A42" s="544" t="s">
        <v>259</v>
      </c>
      <c r="B42" s="545"/>
      <c r="C42" s="546">
        <f>O48</f>
        <v>0</v>
      </c>
    </row>
    <row r="43" spans="1:15" x14ac:dyDescent="0.25">
      <c r="B43" s="250"/>
      <c r="C43" s="277"/>
      <c r="D43" s="277"/>
    </row>
    <row r="44" spans="1:15" s="336" customFormat="1" x14ac:dyDescent="0.25">
      <c r="A44" s="391" t="s">
        <v>448</v>
      </c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</row>
    <row r="45" spans="1:15" s="336" customFormat="1" x14ac:dyDescent="0.25">
      <c r="A45" s="751">
        <v>2020</v>
      </c>
      <c r="B45" s="751"/>
      <c r="C45" s="751"/>
      <c r="D45" s="415" t="s">
        <v>31</v>
      </c>
      <c r="E45" s="415" t="s">
        <v>21</v>
      </c>
      <c r="F45" s="415" t="s">
        <v>27</v>
      </c>
      <c r="G45" s="415" t="s">
        <v>22</v>
      </c>
      <c r="H45" s="416" t="s">
        <v>36</v>
      </c>
      <c r="I45" s="415" t="s">
        <v>18</v>
      </c>
      <c r="J45" s="415" t="s">
        <v>28</v>
      </c>
      <c r="K45" s="415" t="s">
        <v>33</v>
      </c>
      <c r="L45" s="415" t="s">
        <v>30</v>
      </c>
      <c r="M45" s="415" t="s">
        <v>32</v>
      </c>
      <c r="N45" s="415" t="s">
        <v>20</v>
      </c>
      <c r="O45" s="490" t="s">
        <v>79</v>
      </c>
    </row>
    <row r="46" spans="1:15" s="336" customFormat="1" x14ac:dyDescent="0.25">
      <c r="A46" s="730" t="s">
        <v>216</v>
      </c>
      <c r="B46" s="730"/>
      <c r="C46" s="730"/>
      <c r="D46" s="402">
        <f>SUM(D47:D48)</f>
        <v>2906.144811858609</v>
      </c>
      <c r="E46" s="402">
        <f t="shared" ref="E46:N46" si="8">SUM(E47:E48)</f>
        <v>2906.144811858609</v>
      </c>
      <c r="F46" s="402">
        <f t="shared" si="8"/>
        <v>2906.144811858609</v>
      </c>
      <c r="G46" s="402">
        <f t="shared" si="8"/>
        <v>2906.144811858609</v>
      </c>
      <c r="H46" s="402">
        <f t="shared" si="8"/>
        <v>2906.144811858609</v>
      </c>
      <c r="I46" s="402">
        <f t="shared" si="8"/>
        <v>0</v>
      </c>
      <c r="J46" s="402">
        <f t="shared" si="8"/>
        <v>2906.144811858609</v>
      </c>
      <c r="K46" s="402">
        <f t="shared" si="8"/>
        <v>0</v>
      </c>
      <c r="L46" s="402">
        <f t="shared" si="8"/>
        <v>447.0992018244014</v>
      </c>
      <c r="M46" s="402">
        <f t="shared" si="8"/>
        <v>0</v>
      </c>
      <c r="N46" s="402">
        <f t="shared" si="8"/>
        <v>0</v>
      </c>
      <c r="O46" s="420">
        <f>SUM(D46:N46)</f>
        <v>17883.968072976055</v>
      </c>
    </row>
    <row r="47" spans="1:15" s="336" customFormat="1" x14ac:dyDescent="0.25">
      <c r="A47" s="730" t="s">
        <v>262</v>
      </c>
      <c r="B47" s="730"/>
      <c r="C47" s="730"/>
      <c r="D47" s="403">
        <f>D53</f>
        <v>2906.144811858609</v>
      </c>
      <c r="E47" s="403">
        <f t="shared" ref="E47:O47" si="9">E53</f>
        <v>2906.144811858609</v>
      </c>
      <c r="F47" s="403">
        <f t="shared" si="9"/>
        <v>2906.144811858609</v>
      </c>
      <c r="G47" s="403">
        <f t="shared" si="9"/>
        <v>2906.144811858609</v>
      </c>
      <c r="H47" s="403">
        <f t="shared" si="9"/>
        <v>2906.144811858609</v>
      </c>
      <c r="I47" s="403">
        <f t="shared" si="9"/>
        <v>0</v>
      </c>
      <c r="J47" s="403">
        <f t="shared" si="9"/>
        <v>2906.144811858609</v>
      </c>
      <c r="K47" s="403">
        <f t="shared" si="9"/>
        <v>0</v>
      </c>
      <c r="L47" s="403">
        <f t="shared" si="9"/>
        <v>447.0992018244014</v>
      </c>
      <c r="M47" s="403">
        <f t="shared" si="9"/>
        <v>0</v>
      </c>
      <c r="N47" s="403">
        <f t="shared" si="9"/>
        <v>0</v>
      </c>
      <c r="O47" s="525">
        <f t="shared" si="9"/>
        <v>17883.968072976055</v>
      </c>
    </row>
    <row r="48" spans="1:15" s="336" customFormat="1" x14ac:dyDescent="0.25">
      <c r="A48" s="730" t="s">
        <v>263</v>
      </c>
      <c r="B48" s="730"/>
      <c r="C48" s="730"/>
      <c r="D48" s="403">
        <f>D96</f>
        <v>0</v>
      </c>
      <c r="E48" s="403">
        <f t="shared" ref="E48:N48" si="10">E96</f>
        <v>0</v>
      </c>
      <c r="F48" s="403">
        <f t="shared" si="10"/>
        <v>0</v>
      </c>
      <c r="G48" s="403">
        <f t="shared" si="10"/>
        <v>0</v>
      </c>
      <c r="H48" s="403">
        <f t="shared" si="10"/>
        <v>0</v>
      </c>
      <c r="I48" s="403">
        <f t="shared" si="10"/>
        <v>0</v>
      </c>
      <c r="J48" s="403">
        <f t="shared" si="10"/>
        <v>0</v>
      </c>
      <c r="K48" s="403">
        <f t="shared" si="10"/>
        <v>0</v>
      </c>
      <c r="L48" s="403">
        <f t="shared" si="10"/>
        <v>0</v>
      </c>
      <c r="M48" s="403">
        <f t="shared" si="10"/>
        <v>0</v>
      </c>
      <c r="N48" s="403">
        <f t="shared" si="10"/>
        <v>0</v>
      </c>
      <c r="O48" s="420">
        <f>SUM(D48:N48)</f>
        <v>0</v>
      </c>
    </row>
    <row r="49" spans="1:15" x14ac:dyDescent="0.25">
      <c r="A49" s="260"/>
      <c r="B49" s="261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O49" s="274">
        <f>SUM(O47:O48)</f>
        <v>17883.968072976055</v>
      </c>
    </row>
    <row r="50" spans="1:15" x14ac:dyDescent="0.25">
      <c r="A50" s="260"/>
      <c r="B50" s="261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</row>
    <row r="51" spans="1:15" s="336" customFormat="1" x14ac:dyDescent="0.25">
      <c r="A51" s="411" t="s">
        <v>271</v>
      </c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</row>
    <row r="52" spans="1:15" s="336" customFormat="1" ht="29.25" customHeight="1" x14ac:dyDescent="0.25">
      <c r="A52" s="752" t="s">
        <v>265</v>
      </c>
      <c r="B52" s="752"/>
      <c r="C52" s="516" t="s">
        <v>272</v>
      </c>
      <c r="D52" s="415" t="s">
        <v>222</v>
      </c>
      <c r="E52" s="415" t="s">
        <v>21</v>
      </c>
      <c r="F52" s="415" t="s">
        <v>27</v>
      </c>
      <c r="G52" s="415" t="s">
        <v>22</v>
      </c>
      <c r="H52" s="416" t="s">
        <v>36</v>
      </c>
      <c r="I52" s="416" t="s">
        <v>18</v>
      </c>
      <c r="J52" s="415" t="s">
        <v>223</v>
      </c>
      <c r="K52" s="415" t="s">
        <v>33</v>
      </c>
      <c r="L52" s="415" t="s">
        <v>30</v>
      </c>
      <c r="M52" s="415" t="s">
        <v>32</v>
      </c>
      <c r="N52" s="415" t="s">
        <v>20</v>
      </c>
      <c r="O52" s="490" t="s">
        <v>79</v>
      </c>
    </row>
    <row r="53" spans="1:15" s="336" customFormat="1" ht="29.25" customHeight="1" x14ac:dyDescent="0.25">
      <c r="A53" s="517">
        <f>C36</f>
        <v>1.0421892816419613</v>
      </c>
      <c r="B53" s="518">
        <v>2020</v>
      </c>
      <c r="C53" s="434">
        <f>C55*A53</f>
        <v>17883.968072976055</v>
      </c>
      <c r="D53" s="441">
        <f>($C$53-$L$53)/6</f>
        <v>2906.144811858609</v>
      </c>
      <c r="E53" s="441">
        <f t="shared" ref="E53:J53" si="11">($C$53-$L$53)/6</f>
        <v>2906.144811858609</v>
      </c>
      <c r="F53" s="441">
        <f t="shared" si="11"/>
        <v>2906.144811858609</v>
      </c>
      <c r="G53" s="441">
        <f t="shared" si="11"/>
        <v>2906.144811858609</v>
      </c>
      <c r="H53" s="441">
        <f t="shared" si="11"/>
        <v>2906.144811858609</v>
      </c>
      <c r="I53" s="441">
        <v>0</v>
      </c>
      <c r="J53" s="441">
        <f t="shared" si="11"/>
        <v>2906.144811858609</v>
      </c>
      <c r="K53" s="441">
        <v>0</v>
      </c>
      <c r="L53" s="519">
        <f>L55*A53</f>
        <v>447.0992018244014</v>
      </c>
      <c r="M53" s="441">
        <v>0</v>
      </c>
      <c r="N53" s="441">
        <v>0</v>
      </c>
      <c r="O53" s="441">
        <f>SUM(D53:N53)</f>
        <v>17883.968072976055</v>
      </c>
    </row>
    <row r="54" spans="1:15" s="336" customFormat="1" ht="29.25" customHeight="1" x14ac:dyDescent="0.25">
      <c r="A54" s="517">
        <v>1.024</v>
      </c>
      <c r="B54" s="518">
        <v>2019</v>
      </c>
      <c r="C54" s="434">
        <f>C55*A54</f>
        <v>17571.84</v>
      </c>
      <c r="D54" s="441">
        <f>($C$54-$L$54)/6</f>
        <v>2855.4240000000004</v>
      </c>
      <c r="E54" s="441">
        <f t="shared" ref="E54:J54" si="12">($C$54-$L$54)/6</f>
        <v>2855.4240000000004</v>
      </c>
      <c r="F54" s="441">
        <f t="shared" si="12"/>
        <v>2855.4240000000004</v>
      </c>
      <c r="G54" s="441">
        <f t="shared" si="12"/>
        <v>2855.4240000000004</v>
      </c>
      <c r="H54" s="441">
        <f t="shared" si="12"/>
        <v>2855.4240000000004</v>
      </c>
      <c r="I54" s="441">
        <v>0</v>
      </c>
      <c r="J54" s="441">
        <f t="shared" si="12"/>
        <v>2855.4240000000004</v>
      </c>
      <c r="K54" s="441">
        <v>0</v>
      </c>
      <c r="L54" s="519">
        <f>L55*A54</f>
        <v>439.29599999999999</v>
      </c>
      <c r="M54" s="441">
        <v>0</v>
      </c>
      <c r="N54" s="441">
        <v>0</v>
      </c>
      <c r="O54" s="441">
        <f>SUM(D54:N54)</f>
        <v>17571.84</v>
      </c>
    </row>
    <row r="55" spans="1:15" s="405" customFormat="1" x14ac:dyDescent="0.25">
      <c r="A55" s="754">
        <v>2018</v>
      </c>
      <c r="B55" s="754"/>
      <c r="C55" s="520">
        <v>17160</v>
      </c>
      <c r="D55" s="441">
        <f>($C$55-$L$55)/6</f>
        <v>2788.5</v>
      </c>
      <c r="E55" s="441">
        <f>($C$55-$L$55)/6</f>
        <v>2788.5</v>
      </c>
      <c r="F55" s="441">
        <f>($C$55-$L$55)/6</f>
        <v>2788.5</v>
      </c>
      <c r="G55" s="441">
        <f>($C$55-$L$55)/6</f>
        <v>2788.5</v>
      </c>
      <c r="H55" s="441">
        <f>($C$55-$L$55)/6</f>
        <v>2788.5</v>
      </c>
      <c r="I55" s="441">
        <v>0</v>
      </c>
      <c r="J55" s="441">
        <f>($C$55-$L$55)/6</f>
        <v>2788.5</v>
      </c>
      <c r="K55" s="441">
        <v>0</v>
      </c>
      <c r="L55" s="441">
        <f>17160/40</f>
        <v>429</v>
      </c>
      <c r="M55" s="441">
        <v>0</v>
      </c>
      <c r="N55" s="441">
        <v>0</v>
      </c>
      <c r="O55" s="441">
        <f>SUM(D55:N55)</f>
        <v>17160</v>
      </c>
    </row>
    <row r="56" spans="1:15" s="524" customFormat="1" ht="7.5" customHeight="1" x14ac:dyDescent="0.25">
      <c r="A56" s="521"/>
      <c r="B56" s="521"/>
      <c r="C56" s="522"/>
      <c r="D56" s="523"/>
      <c r="E56" s="523"/>
      <c r="F56" s="523"/>
      <c r="G56" s="523"/>
      <c r="H56" s="523"/>
      <c r="I56" s="523"/>
      <c r="J56" s="523"/>
      <c r="K56" s="523"/>
      <c r="L56" s="523"/>
      <c r="M56" s="523"/>
      <c r="N56" s="523"/>
      <c r="O56" s="523"/>
    </row>
    <row r="57" spans="1:15" s="336" customFormat="1" x14ac:dyDescent="0.25">
      <c r="A57" s="752">
        <v>2017</v>
      </c>
      <c r="B57" s="752"/>
      <c r="C57" s="401">
        <f>E65+8*E66</f>
        <v>12645.687650772987</v>
      </c>
      <c r="D57" s="420">
        <f>$C57/6+D$61/42*12*$E$66+D$61/42*20*$E$67+D$61/42*10*$E$68</f>
        <v>4147.8188656050215</v>
      </c>
      <c r="E57" s="420">
        <f>$C57/6+E$61/42*12*$E$66+E$61/42*20*$E$67+E$61/42*10*$E$68</f>
        <v>5847.9890798907363</v>
      </c>
      <c r="F57" s="420">
        <f>$C57/6+F$61/42*12*$E$66+F$61/42*20*$E$67+F$61/42*10*$E$68</f>
        <v>3807.7848227478789</v>
      </c>
      <c r="G57" s="420">
        <f>$C57/6+G$61/42*12*$E$66+G$61/42*20*$E$67+G$61/42*10*$E$68</f>
        <v>4827.8869513193076</v>
      </c>
      <c r="H57" s="420">
        <f>$C57/6+H$61/42*12*$E$66+H$61/42*20*$E$67+H$61/42*10*$E$68</f>
        <v>4487.8529084621641</v>
      </c>
      <c r="I57" s="420">
        <v>0</v>
      </c>
      <c r="J57" s="420">
        <f>$C57/6+J$61/42*12*$E$66+J$61/42*20*$E$67+J$61/42*10*$E$68</f>
        <v>3807.7848227478789</v>
      </c>
      <c r="K57" s="420">
        <v>0</v>
      </c>
      <c r="L57" s="420">
        <v>0</v>
      </c>
      <c r="M57" s="420">
        <v>0</v>
      </c>
      <c r="N57" s="420">
        <v>0</v>
      </c>
      <c r="O57" s="420">
        <f>SUM(D57:N57)</f>
        <v>26927.117450772985</v>
      </c>
    </row>
    <row r="58" spans="1:15" s="336" customFormat="1" x14ac:dyDescent="0.25">
      <c r="A58" s="752">
        <v>2016</v>
      </c>
      <c r="B58" s="752"/>
      <c r="C58" s="401">
        <f>D65+8*D66</f>
        <v>12472.1201</v>
      </c>
      <c r="D58" s="420">
        <f>$C58/6+D$61/42*12*$D$66+D$61/42*20*$D$67+D$61/42*10*$D$68</f>
        <v>4118.8909404761907</v>
      </c>
      <c r="E58" s="420">
        <f>$C58/6+E$61/42*12*$D$66+E$61/42*20*$D$67+E$61/42*10*$D$68</f>
        <v>5819.0611547619055</v>
      </c>
      <c r="F58" s="420">
        <f>$C58/6+F$61/42*12*$D$66+F$61/42*20*$D$67+F$61/42*10*$D$68</f>
        <v>3778.8568976190481</v>
      </c>
      <c r="G58" s="420">
        <f>$C58/6+G$61/42*12*$D$66+G$61/42*20*$D$67+G$61/42*10*$D$68</f>
        <v>4798.9590261904759</v>
      </c>
      <c r="H58" s="420">
        <f>$C58/6+H$61/42*12*$D$66+H$61/42*20*$D$67+H$61/42*10*$D$68</f>
        <v>4458.9249833333333</v>
      </c>
      <c r="I58" s="420">
        <v>0</v>
      </c>
      <c r="J58" s="420">
        <f>$C58/6+J$61/42*12*$D$66+J$61/42*20*$D$67+J$61/42*10*$D$68</f>
        <v>3778.8568976190481</v>
      </c>
      <c r="K58" s="420">
        <v>0</v>
      </c>
      <c r="L58" s="420">
        <v>0</v>
      </c>
      <c r="M58" s="420">
        <v>0</v>
      </c>
      <c r="N58" s="420">
        <v>0</v>
      </c>
      <c r="O58" s="420">
        <f>SUM(D58:N58)</f>
        <v>26753.549899999998</v>
      </c>
    </row>
    <row r="59" spans="1:15" s="336" customFormat="1" x14ac:dyDescent="0.25">
      <c r="A59" s="752">
        <v>2015</v>
      </c>
      <c r="B59" s="752"/>
      <c r="C59" s="401">
        <f>C65+8*C66</f>
        <v>12097.416000000001</v>
      </c>
      <c r="D59" s="420">
        <f>$C59/6+D$61/42*12*$C$66+D$61/42*20*$C$67+D$61/42*10*$C$68</f>
        <v>3995.1457142857139</v>
      </c>
      <c r="E59" s="420">
        <f>$C59/6+E$61/42*12*$C$66+E$61/42*20*$C$67+E$61/42*10*$C$68</f>
        <v>5644.2371428571432</v>
      </c>
      <c r="F59" s="420">
        <f>$C59/6+F$61/42*12*$C$66+F$61/42*20*$C$67+F$61/42*10*$C$68</f>
        <v>3665.3274285714288</v>
      </c>
      <c r="G59" s="420">
        <f>$C59/6+G$61/42*12*$C$66+G$61/42*20*$C$67+G$61/42*10*$C$68</f>
        <v>4654.7822857142855</v>
      </c>
      <c r="H59" s="420">
        <f>$C59/6+H$61/42*12*$C$66+H$61/42*20*$C$67+H$61/42*10*$C$68</f>
        <v>4324.9639999999999</v>
      </c>
      <c r="I59" s="420">
        <v>0</v>
      </c>
      <c r="J59" s="420">
        <f>$C59/6+J$61/42*12*$C$66+J$61/42*20*$C$67+J$61/42*10*$C$68</f>
        <v>3665.3274285714288</v>
      </c>
      <c r="K59" s="420">
        <v>0</v>
      </c>
      <c r="L59" s="420">
        <v>0</v>
      </c>
      <c r="M59" s="420">
        <v>0</v>
      </c>
      <c r="N59" s="420">
        <v>0</v>
      </c>
      <c r="O59" s="420">
        <f>SUM(D59:N59)</f>
        <v>25949.784</v>
      </c>
    </row>
    <row r="60" spans="1:15" s="336" customFormat="1" x14ac:dyDescent="0.25">
      <c r="A60" s="752">
        <v>2014</v>
      </c>
      <c r="B60" s="752"/>
      <c r="C60" s="401">
        <f>B65+8*B66</f>
        <v>12146</v>
      </c>
      <c r="D60" s="420">
        <f>$C60/6+D$61/42*12*$B$66+D$61/42*20*$B$67+D$61/42*10*$B$68</f>
        <v>4011.1904761904761</v>
      </c>
      <c r="E60" s="420">
        <f>$C60/6+E$61/42*12*$B$66+E$61/42*20*$B$67+E$61/42*10*$B$68</f>
        <v>5666.9047619047624</v>
      </c>
      <c r="F60" s="420">
        <f>$C60/6+F$61/42*12*$B$66+F$61/42*20*$B$67+F$61/42*10*$B$68</f>
        <v>3680.0476190476188</v>
      </c>
      <c r="G60" s="420">
        <f>$C60/6+G$61/42*12*$B$66+G$61/42*20*$B$67+G$61/42*10*$B$68</f>
        <v>4673.4761904761908</v>
      </c>
      <c r="H60" s="420">
        <f>$C60/6+H$61/42*12*$B$66+H$61/42*20*$B$67+H$61/42*10*$B$68</f>
        <v>4342.333333333333</v>
      </c>
      <c r="I60" s="420">
        <v>0</v>
      </c>
      <c r="J60" s="420">
        <f>$C60/6+J$61/42*12*$B$66+J$61/42*20*$B$67+J$61/42*10*$B$68</f>
        <v>3680.0476190476188</v>
      </c>
      <c r="K60" s="420">
        <v>0</v>
      </c>
      <c r="L60" s="420">
        <v>0</v>
      </c>
      <c r="M60" s="420">
        <v>0</v>
      </c>
      <c r="N60" s="420">
        <v>0</v>
      </c>
      <c r="O60" s="420">
        <f>SUM(D60:N60)</f>
        <v>26053.999999999996</v>
      </c>
    </row>
    <row r="61" spans="1:15" s="336" customFormat="1" ht="15" customHeight="1" x14ac:dyDescent="0.25">
      <c r="A61" s="752" t="s">
        <v>224</v>
      </c>
      <c r="B61" s="752"/>
      <c r="C61" s="442">
        <v>18</v>
      </c>
      <c r="D61" s="422">
        <v>6</v>
      </c>
      <c r="E61" s="423">
        <v>11</v>
      </c>
      <c r="F61" s="423">
        <v>5</v>
      </c>
      <c r="G61" s="423">
        <v>8</v>
      </c>
      <c r="H61" s="423">
        <v>7</v>
      </c>
      <c r="I61" s="423">
        <v>0</v>
      </c>
      <c r="J61" s="423">
        <v>5</v>
      </c>
      <c r="K61" s="423">
        <v>0</v>
      </c>
      <c r="L61" s="423">
        <v>0</v>
      </c>
      <c r="M61" s="423">
        <v>0</v>
      </c>
      <c r="N61" s="423">
        <v>0</v>
      </c>
      <c r="O61" s="423">
        <f>SUM(C61:J61)</f>
        <v>60</v>
      </c>
    </row>
    <row r="62" spans="1:15" x14ac:dyDescent="0.25">
      <c r="A62" s="269"/>
      <c r="B62" s="270"/>
      <c r="C62" s="308"/>
      <c r="D62" s="308"/>
      <c r="E62" s="308"/>
      <c r="F62" s="308"/>
      <c r="G62" s="308"/>
      <c r="H62" s="308"/>
      <c r="I62" s="308"/>
      <c r="J62" s="308"/>
      <c r="K62" s="246"/>
      <c r="L62" s="246"/>
      <c r="M62" s="246"/>
      <c r="N62" s="246"/>
      <c r="O62" s="246">
        <v>42</v>
      </c>
    </row>
    <row r="63" spans="1:15" hidden="1" x14ac:dyDescent="0.25">
      <c r="A63" s="267" t="s">
        <v>273</v>
      </c>
      <c r="B63" s="268">
        <v>2014</v>
      </c>
      <c r="C63" s="268">
        <v>2015</v>
      </c>
      <c r="D63" s="268">
        <v>2016</v>
      </c>
      <c r="E63" s="268">
        <v>2017</v>
      </c>
      <c r="F63" s="309">
        <v>2018</v>
      </c>
      <c r="G63" s="246"/>
      <c r="H63" s="246"/>
      <c r="I63" s="246"/>
      <c r="J63" s="246"/>
      <c r="K63" s="246"/>
      <c r="L63" s="246"/>
      <c r="M63" s="246"/>
      <c r="N63" s="246"/>
      <c r="O63" s="246"/>
    </row>
    <row r="64" spans="1:15" hidden="1" x14ac:dyDescent="0.25">
      <c r="A64" s="267" t="s">
        <v>220</v>
      </c>
      <c r="B64" s="267" t="s">
        <v>156</v>
      </c>
      <c r="C64" s="267">
        <v>0.996</v>
      </c>
      <c r="D64" s="310">
        <v>1.02685</v>
      </c>
      <c r="E64" s="266">
        <f>2570/2458</f>
        <v>1.0455655004068349</v>
      </c>
      <c r="F64" s="311" t="s">
        <v>353</v>
      </c>
      <c r="G64" s="246"/>
      <c r="H64" s="246"/>
      <c r="I64" s="246"/>
      <c r="J64" s="246"/>
      <c r="K64" s="246"/>
      <c r="L64" s="246"/>
      <c r="M64" s="246"/>
      <c r="N64" s="246"/>
      <c r="O64" s="246"/>
    </row>
    <row r="65" spans="1:15" hidden="1" x14ac:dyDescent="0.25">
      <c r="A65" s="267" t="s">
        <v>274</v>
      </c>
      <c r="B65" s="268">
        <v>9274</v>
      </c>
      <c r="C65" s="312">
        <f>B65*C64</f>
        <v>9236.9040000000005</v>
      </c>
      <c r="D65" s="312">
        <f>B65*D64</f>
        <v>9523.0069000000003</v>
      </c>
      <c r="E65" s="312">
        <f>B65*E64</f>
        <v>9696.5744507729869</v>
      </c>
      <c r="F65" s="311">
        <v>8500</v>
      </c>
      <c r="G65" s="246"/>
      <c r="H65" s="246"/>
      <c r="I65" s="246"/>
      <c r="J65" s="246"/>
      <c r="K65" s="246"/>
      <c r="L65" s="246"/>
      <c r="M65" s="246"/>
      <c r="N65" s="246"/>
      <c r="O65" s="246"/>
    </row>
    <row r="66" spans="1:15" hidden="1" x14ac:dyDescent="0.25">
      <c r="A66" s="267" t="s">
        <v>275</v>
      </c>
      <c r="B66" s="268">
        <v>359</v>
      </c>
      <c r="C66" s="312">
        <f>B66*$C$64</f>
        <v>357.56400000000002</v>
      </c>
      <c r="D66" s="312">
        <f>B66*$D$64</f>
        <v>368.63915000000003</v>
      </c>
      <c r="E66" s="312">
        <f>B66*$D$64</f>
        <v>368.63915000000003</v>
      </c>
      <c r="F66" s="311">
        <v>352</v>
      </c>
      <c r="G66" s="246"/>
      <c r="H66" s="246"/>
      <c r="I66" s="246"/>
      <c r="J66" s="246"/>
      <c r="K66" s="246"/>
      <c r="L66" s="246"/>
      <c r="M66" s="246"/>
      <c r="N66" s="246"/>
      <c r="O66" s="246"/>
    </row>
    <row r="67" spans="1:15" hidden="1" x14ac:dyDescent="0.25">
      <c r="A67" s="267" t="s">
        <v>276</v>
      </c>
      <c r="B67" s="268">
        <v>322</v>
      </c>
      <c r="C67" s="312">
        <f>B67*$C$64</f>
        <v>320.71199999999999</v>
      </c>
      <c r="D67" s="312">
        <f>B67*$D$64</f>
        <v>330.64570000000003</v>
      </c>
      <c r="E67" s="312">
        <f>B67*$D$64</f>
        <v>330.64570000000003</v>
      </c>
      <c r="F67" s="311">
        <v>317</v>
      </c>
      <c r="G67" s="246"/>
      <c r="H67" s="246"/>
      <c r="I67" s="246"/>
      <c r="J67" s="246"/>
      <c r="K67" s="246"/>
      <c r="L67" s="246"/>
      <c r="M67" s="246"/>
      <c r="N67" s="246"/>
      <c r="O67" s="246"/>
    </row>
    <row r="68" spans="1:15" hidden="1" x14ac:dyDescent="0.25">
      <c r="A68" s="267" t="s">
        <v>277</v>
      </c>
      <c r="B68" s="268">
        <v>316</v>
      </c>
      <c r="C68" s="312">
        <f>B68*$C$64</f>
        <v>314.73599999999999</v>
      </c>
      <c r="D68" s="312">
        <f>B68*$D$64</f>
        <v>324.4846</v>
      </c>
      <c r="E68" s="312">
        <f>B68*$D$64</f>
        <v>324.4846</v>
      </c>
      <c r="F68" s="311">
        <v>308</v>
      </c>
      <c r="G68" s="246"/>
      <c r="H68" s="246"/>
      <c r="I68" s="246"/>
      <c r="J68" s="246"/>
      <c r="K68" s="246"/>
      <c r="L68" s="246"/>
      <c r="M68" s="246"/>
      <c r="N68" s="246"/>
      <c r="O68" s="246"/>
    </row>
    <row r="69" spans="1:15" hidden="1" x14ac:dyDescent="0.25">
      <c r="A69" s="269"/>
      <c r="B69" s="270"/>
      <c r="C69" s="270"/>
      <c r="D69" s="270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</row>
    <row r="70" spans="1:15" hidden="1" x14ac:dyDescent="0.25">
      <c r="A70" s="313" t="s">
        <v>278</v>
      </c>
      <c r="B70" s="314"/>
      <c r="C70" s="314"/>
      <c r="D70" s="314"/>
      <c r="E70" s="315"/>
      <c r="F70" s="314"/>
      <c r="G70" s="314"/>
      <c r="H70" s="246"/>
      <c r="I70" s="246"/>
      <c r="J70" s="246"/>
      <c r="K70" s="246"/>
      <c r="L70" s="246"/>
      <c r="M70" s="246"/>
      <c r="N70" s="246"/>
      <c r="O70" s="246"/>
    </row>
    <row r="71" spans="1:15" hidden="1" x14ac:dyDescent="0.25">
      <c r="A71" s="316" t="s">
        <v>279</v>
      </c>
      <c r="B71" s="316" t="s">
        <v>31</v>
      </c>
      <c r="C71" s="316" t="s">
        <v>21</v>
      </c>
      <c r="D71" s="316" t="s">
        <v>27</v>
      </c>
      <c r="E71" s="317" t="s">
        <v>22</v>
      </c>
      <c r="F71" s="316" t="s">
        <v>36</v>
      </c>
      <c r="G71" s="316" t="s">
        <v>28</v>
      </c>
      <c r="H71" s="246"/>
      <c r="I71" s="246"/>
      <c r="J71" s="246"/>
      <c r="K71" s="246"/>
      <c r="L71" s="246"/>
      <c r="M71" s="246"/>
      <c r="N71" s="246"/>
      <c r="O71" s="246"/>
    </row>
    <row r="72" spans="1:15" hidden="1" x14ac:dyDescent="0.25">
      <c r="A72" s="314" t="s">
        <v>280</v>
      </c>
      <c r="B72" s="314" t="s">
        <v>281</v>
      </c>
      <c r="C72" s="314" t="s">
        <v>282</v>
      </c>
      <c r="D72" s="314" t="s">
        <v>283</v>
      </c>
      <c r="E72" s="315" t="s">
        <v>284</v>
      </c>
      <c r="F72" s="314" t="s">
        <v>285</v>
      </c>
      <c r="G72" s="314" t="s">
        <v>286</v>
      </c>
      <c r="H72" s="246"/>
      <c r="I72" s="246"/>
      <c r="J72" s="246"/>
      <c r="K72" s="246"/>
      <c r="L72" s="246"/>
      <c r="M72" s="246"/>
      <c r="N72" s="246"/>
      <c r="O72" s="246"/>
    </row>
    <row r="73" spans="1:15" hidden="1" x14ac:dyDescent="0.25">
      <c r="A73" s="314" t="s">
        <v>287</v>
      </c>
      <c r="B73" s="314" t="s">
        <v>288</v>
      </c>
      <c r="C73" s="314" t="s">
        <v>289</v>
      </c>
      <c r="D73" s="314" t="s">
        <v>290</v>
      </c>
      <c r="E73" s="315" t="s">
        <v>291</v>
      </c>
      <c r="F73" s="314" t="s">
        <v>292</v>
      </c>
      <c r="G73" s="314" t="s">
        <v>267</v>
      </c>
      <c r="H73" s="246"/>
      <c r="I73" s="246"/>
      <c r="J73" s="246"/>
      <c r="K73" s="246"/>
      <c r="L73" s="246"/>
      <c r="M73" s="246"/>
      <c r="N73" s="246"/>
      <c r="O73" s="246"/>
    </row>
    <row r="74" spans="1:15" hidden="1" x14ac:dyDescent="0.25">
      <c r="A74" s="314" t="s">
        <v>293</v>
      </c>
      <c r="B74" s="314" t="s">
        <v>294</v>
      </c>
      <c r="C74" s="314" t="s">
        <v>295</v>
      </c>
      <c r="D74" s="314" t="s">
        <v>296</v>
      </c>
      <c r="E74" s="315" t="s">
        <v>297</v>
      </c>
      <c r="F74" s="314" t="s">
        <v>298</v>
      </c>
      <c r="G74" s="314" t="s">
        <v>299</v>
      </c>
      <c r="H74" s="246"/>
      <c r="I74" s="246"/>
      <c r="J74" s="246"/>
      <c r="K74" s="246"/>
      <c r="L74" s="246"/>
      <c r="M74" s="246"/>
      <c r="N74" s="246"/>
      <c r="O74" s="246"/>
    </row>
    <row r="75" spans="1:15" hidden="1" x14ac:dyDescent="0.25">
      <c r="A75" s="314" t="s">
        <v>300</v>
      </c>
      <c r="B75" s="314" t="s">
        <v>301</v>
      </c>
      <c r="C75" s="314" t="s">
        <v>302</v>
      </c>
      <c r="D75" s="314" t="s">
        <v>303</v>
      </c>
      <c r="E75" s="315" t="s">
        <v>304</v>
      </c>
      <c r="F75" s="314" t="s">
        <v>305</v>
      </c>
      <c r="G75" s="314" t="s">
        <v>306</v>
      </c>
      <c r="H75" s="246"/>
      <c r="I75" s="246"/>
      <c r="J75" s="246"/>
      <c r="K75" s="246"/>
      <c r="L75" s="246"/>
      <c r="M75" s="246"/>
      <c r="N75" s="246"/>
      <c r="O75" s="246"/>
    </row>
    <row r="76" spans="1:15" hidden="1" x14ac:dyDescent="0.25">
      <c r="A76" s="314" t="s">
        <v>307</v>
      </c>
      <c r="B76" s="314" t="s">
        <v>308</v>
      </c>
      <c r="C76" s="314" t="s">
        <v>309</v>
      </c>
      <c r="D76" s="314" t="s">
        <v>310</v>
      </c>
      <c r="E76" s="315" t="s">
        <v>426</v>
      </c>
      <c r="F76" s="314" t="s">
        <v>311</v>
      </c>
      <c r="G76" s="314" t="s">
        <v>312</v>
      </c>
      <c r="H76" s="246"/>
      <c r="I76" s="246"/>
      <c r="J76" s="246"/>
      <c r="K76" s="246"/>
      <c r="L76" s="246"/>
      <c r="M76" s="246"/>
      <c r="N76" s="246"/>
      <c r="O76" s="246"/>
    </row>
    <row r="77" spans="1:15" hidden="1" x14ac:dyDescent="0.25">
      <c r="A77" s="314" t="s">
        <v>313</v>
      </c>
      <c r="B77" s="314" t="s">
        <v>314</v>
      </c>
      <c r="C77" s="314" t="s">
        <v>315</v>
      </c>
      <c r="D77" s="314"/>
      <c r="E77" s="315" t="s">
        <v>427</v>
      </c>
      <c r="F77" s="314" t="s">
        <v>316</v>
      </c>
      <c r="G77" s="314"/>
      <c r="H77" s="246"/>
      <c r="I77" s="246"/>
      <c r="J77" s="246"/>
      <c r="K77" s="246"/>
      <c r="L77" s="246"/>
      <c r="M77" s="246"/>
      <c r="N77" s="246"/>
      <c r="O77" s="246"/>
    </row>
    <row r="78" spans="1:15" hidden="1" x14ac:dyDescent="0.25">
      <c r="A78" s="314" t="s">
        <v>317</v>
      </c>
      <c r="B78" s="314"/>
      <c r="C78" s="314" t="s">
        <v>318</v>
      </c>
      <c r="D78" s="314"/>
      <c r="E78" s="315" t="s">
        <v>319</v>
      </c>
      <c r="F78" s="314" t="s">
        <v>320</v>
      </c>
      <c r="G78" s="314"/>
      <c r="H78" s="246"/>
      <c r="I78" s="246"/>
      <c r="J78" s="246"/>
      <c r="K78" s="246"/>
      <c r="L78" s="246"/>
      <c r="M78" s="246"/>
      <c r="N78" s="246"/>
      <c r="O78" s="246"/>
    </row>
    <row r="79" spans="1:15" hidden="1" x14ac:dyDescent="0.25">
      <c r="A79" s="314" t="s">
        <v>321</v>
      </c>
      <c r="B79" s="314"/>
      <c r="C79" s="314" t="s">
        <v>322</v>
      </c>
      <c r="D79" s="314"/>
      <c r="E79" s="318" t="s">
        <v>323</v>
      </c>
      <c r="F79" s="314"/>
      <c r="G79" s="314"/>
      <c r="H79" s="246"/>
      <c r="I79" s="246"/>
      <c r="J79" s="246"/>
      <c r="K79" s="246"/>
      <c r="L79" s="246"/>
      <c r="M79" s="246"/>
      <c r="N79" s="246"/>
      <c r="O79" s="246"/>
    </row>
    <row r="80" spans="1:15" hidden="1" x14ac:dyDescent="0.25">
      <c r="A80" s="314" t="s">
        <v>324</v>
      </c>
      <c r="B80" s="314"/>
      <c r="C80" s="314" t="s">
        <v>325</v>
      </c>
      <c r="D80" s="314"/>
      <c r="E80" s="315"/>
      <c r="F80" s="314"/>
      <c r="G80" s="314"/>
      <c r="H80" s="246"/>
      <c r="I80" s="246"/>
      <c r="J80" s="246"/>
      <c r="K80" s="246"/>
      <c r="L80" s="246"/>
      <c r="M80" s="246"/>
      <c r="N80" s="246"/>
      <c r="O80" s="246"/>
    </row>
    <row r="81" spans="1:15" hidden="1" x14ac:dyDescent="0.25">
      <c r="A81" s="314" t="s">
        <v>326</v>
      </c>
      <c r="B81" s="314"/>
      <c r="C81" s="314" t="s">
        <v>327</v>
      </c>
      <c r="D81" s="314"/>
      <c r="E81" s="315"/>
      <c r="F81" s="314"/>
      <c r="G81" s="314"/>
      <c r="H81" s="246"/>
      <c r="I81" s="246"/>
      <c r="J81" s="246"/>
      <c r="K81" s="246"/>
      <c r="L81" s="246"/>
      <c r="M81" s="246"/>
      <c r="N81" s="246"/>
      <c r="O81" s="246"/>
    </row>
    <row r="82" spans="1:15" hidden="1" x14ac:dyDescent="0.25">
      <c r="A82" s="314" t="s">
        <v>328</v>
      </c>
      <c r="B82" s="314"/>
      <c r="C82" s="314" t="s">
        <v>329</v>
      </c>
      <c r="D82" s="314"/>
      <c r="E82" s="315"/>
      <c r="F82" s="314"/>
      <c r="G82" s="314"/>
      <c r="H82" s="246"/>
      <c r="I82" s="246"/>
      <c r="J82" s="246"/>
      <c r="K82" s="246"/>
      <c r="L82" s="246"/>
      <c r="M82" s="246"/>
      <c r="N82" s="246"/>
      <c r="O82" s="246"/>
    </row>
    <row r="83" spans="1:15" hidden="1" x14ac:dyDescent="0.25">
      <c r="A83" s="314" t="s">
        <v>330</v>
      </c>
      <c r="B83" s="314"/>
      <c r="C83" s="314"/>
      <c r="D83" s="314"/>
      <c r="E83" s="315"/>
      <c r="F83" s="314"/>
      <c r="G83" s="314"/>
      <c r="H83" s="246"/>
      <c r="I83" s="246"/>
      <c r="J83" s="246"/>
      <c r="K83" s="246"/>
      <c r="L83" s="246"/>
      <c r="M83" s="246"/>
      <c r="N83" s="246"/>
      <c r="O83" s="246"/>
    </row>
    <row r="84" spans="1:15" hidden="1" x14ac:dyDescent="0.25">
      <c r="A84" s="314" t="s">
        <v>331</v>
      </c>
      <c r="B84" s="314"/>
      <c r="C84" s="314"/>
      <c r="D84" s="314"/>
      <c r="E84" s="315"/>
      <c r="F84" s="314"/>
      <c r="G84" s="314"/>
      <c r="H84" s="246"/>
      <c r="I84" s="246"/>
      <c r="J84" s="246"/>
      <c r="K84" s="246"/>
      <c r="L84" s="246"/>
      <c r="M84" s="246"/>
      <c r="N84" s="246"/>
      <c r="O84" s="246"/>
    </row>
    <row r="85" spans="1:15" hidden="1" x14ac:dyDescent="0.25">
      <c r="A85" s="314" t="s">
        <v>332</v>
      </c>
      <c r="B85" s="314"/>
      <c r="C85" s="314"/>
      <c r="D85" s="314"/>
      <c r="E85" s="315"/>
      <c r="F85" s="314"/>
      <c r="G85" s="314"/>
      <c r="H85" s="246"/>
      <c r="I85" s="246"/>
      <c r="J85" s="246"/>
      <c r="K85" s="246"/>
      <c r="L85" s="246"/>
      <c r="M85" s="246"/>
      <c r="N85" s="246"/>
      <c r="O85" s="246"/>
    </row>
    <row r="86" spans="1:15" hidden="1" x14ac:dyDescent="0.25">
      <c r="A86" s="314" t="s">
        <v>333</v>
      </c>
      <c r="B86" s="314"/>
      <c r="C86" s="314"/>
      <c r="D86" s="314"/>
      <c r="E86" s="315"/>
      <c r="F86" s="314"/>
      <c r="G86" s="314"/>
      <c r="H86" s="246"/>
      <c r="I86" s="246"/>
      <c r="J86" s="246"/>
      <c r="K86" s="246"/>
      <c r="L86" s="246"/>
      <c r="M86" s="246"/>
      <c r="N86" s="246"/>
      <c r="O86" s="246"/>
    </row>
    <row r="87" spans="1:15" hidden="1" x14ac:dyDescent="0.25">
      <c r="A87" s="314" t="s">
        <v>334</v>
      </c>
      <c r="B87" s="314"/>
      <c r="C87" s="314"/>
      <c r="D87" s="314"/>
      <c r="E87" s="315"/>
      <c r="F87" s="314"/>
      <c r="G87" s="314"/>
      <c r="H87" s="246"/>
      <c r="I87" s="246"/>
      <c r="J87" s="246"/>
      <c r="K87" s="246"/>
      <c r="L87" s="246"/>
      <c r="M87" s="246"/>
      <c r="N87" s="246"/>
      <c r="O87" s="246"/>
    </row>
    <row r="88" spans="1:15" hidden="1" x14ac:dyDescent="0.25">
      <c r="A88" s="314" t="s">
        <v>335</v>
      </c>
      <c r="B88" s="314"/>
      <c r="C88" s="314"/>
      <c r="D88" s="314"/>
      <c r="E88" s="315"/>
      <c r="F88" s="314"/>
      <c r="G88" s="314"/>
      <c r="H88" s="246"/>
      <c r="I88" s="246"/>
      <c r="J88" s="246"/>
      <c r="K88" s="246"/>
      <c r="L88" s="246"/>
      <c r="M88" s="246"/>
      <c r="N88" s="246"/>
      <c r="O88" s="246"/>
    </row>
    <row r="89" spans="1:15" hidden="1" x14ac:dyDescent="0.25">
      <c r="A89" s="314" t="s">
        <v>336</v>
      </c>
      <c r="B89" s="314"/>
      <c r="C89" s="314"/>
      <c r="D89" s="314"/>
      <c r="E89" s="315"/>
      <c r="F89" s="314"/>
      <c r="G89" s="314"/>
      <c r="H89" s="246"/>
      <c r="I89" s="246"/>
      <c r="J89" s="246"/>
      <c r="K89" s="246"/>
      <c r="L89" s="246"/>
      <c r="M89" s="246"/>
      <c r="N89" s="246"/>
      <c r="O89" s="246"/>
    </row>
    <row r="90" spans="1:15" hidden="1" x14ac:dyDescent="0.25">
      <c r="A90" s="314">
        <v>18</v>
      </c>
      <c r="B90" s="314">
        <v>6</v>
      </c>
      <c r="C90" s="314">
        <v>11</v>
      </c>
      <c r="D90" s="314">
        <v>5</v>
      </c>
      <c r="E90" s="315">
        <v>8</v>
      </c>
      <c r="F90" s="314">
        <v>7</v>
      </c>
      <c r="G90" s="314">
        <v>5</v>
      </c>
      <c r="H90" s="246">
        <f>SUM(A90:G90)</f>
        <v>60</v>
      </c>
      <c r="I90" s="246"/>
      <c r="J90" s="246"/>
      <c r="K90" s="246"/>
      <c r="L90" s="246"/>
      <c r="M90" s="246"/>
      <c r="N90" s="246"/>
      <c r="O90" s="246"/>
    </row>
    <row r="91" spans="1:15" hidden="1" x14ac:dyDescent="0.25">
      <c r="A91" s="269"/>
      <c r="B91" s="319"/>
      <c r="C91" s="319"/>
      <c r="D91" s="319"/>
      <c r="E91" s="320"/>
      <c r="F91" s="320"/>
      <c r="G91" s="320"/>
      <c r="H91" s="246"/>
      <c r="I91" s="246"/>
      <c r="J91" s="246"/>
      <c r="K91" s="246"/>
      <c r="L91" s="321"/>
      <c r="M91" s="246"/>
      <c r="N91" s="246"/>
      <c r="O91" s="246"/>
    </row>
    <row r="92" spans="1:15" s="336" customFormat="1" x14ac:dyDescent="0.25">
      <c r="A92" s="391" t="s">
        <v>251</v>
      </c>
      <c r="B92" s="392"/>
      <c r="C92" s="392"/>
      <c r="D92" s="392"/>
      <c r="E92" s="392"/>
      <c r="F92" s="392"/>
      <c r="G92" s="392"/>
      <c r="H92" s="392"/>
      <c r="I92" s="392"/>
      <c r="J92" s="392"/>
      <c r="K92" s="392"/>
      <c r="L92" s="392"/>
      <c r="M92" s="392"/>
      <c r="N92" s="392"/>
      <c r="O92" s="392"/>
    </row>
    <row r="93" spans="1:15" s="336" customFormat="1" x14ac:dyDescent="0.25">
      <c r="A93" s="526"/>
      <c r="B93" s="526"/>
      <c r="C93" s="526"/>
      <c r="D93" s="526"/>
      <c r="E93" s="526"/>
      <c r="F93" s="527"/>
      <c r="G93" s="526"/>
      <c r="H93" s="526"/>
      <c r="I93" s="526"/>
      <c r="J93" s="526"/>
      <c r="K93" s="526"/>
      <c r="L93" s="526"/>
      <c r="M93" s="526"/>
      <c r="N93" s="526"/>
      <c r="O93" s="528"/>
    </row>
    <row r="94" spans="1:15" s="336" customFormat="1" ht="51.75" x14ac:dyDescent="0.25">
      <c r="A94" s="431" t="s">
        <v>265</v>
      </c>
      <c r="B94" s="431" t="s">
        <v>220</v>
      </c>
      <c r="C94" s="431" t="s">
        <v>221</v>
      </c>
      <c r="D94" s="415" t="s">
        <v>222</v>
      </c>
      <c r="E94" s="415" t="s">
        <v>21</v>
      </c>
      <c r="F94" s="415" t="s">
        <v>27</v>
      </c>
      <c r="G94" s="415" t="s">
        <v>22</v>
      </c>
      <c r="H94" s="416" t="s">
        <v>36</v>
      </c>
      <c r="I94" s="415" t="s">
        <v>18</v>
      </c>
      <c r="J94" s="415" t="s">
        <v>223</v>
      </c>
      <c r="K94" s="415" t="s">
        <v>33</v>
      </c>
      <c r="L94" s="415" t="s">
        <v>30</v>
      </c>
      <c r="M94" s="415" t="s">
        <v>32</v>
      </c>
      <c r="N94" s="415" t="s">
        <v>20</v>
      </c>
    </row>
    <row r="95" spans="1:15" s="336" customFormat="1" x14ac:dyDescent="0.25">
      <c r="A95" s="529">
        <v>2020</v>
      </c>
      <c r="B95" s="530">
        <f>C36</f>
        <v>1.0421892816419613</v>
      </c>
      <c r="C95" s="531">
        <f>C97*B95</f>
        <v>1229.7833523375143</v>
      </c>
      <c r="D95" s="420">
        <v>0</v>
      </c>
      <c r="E95" s="420">
        <v>0</v>
      </c>
      <c r="F95" s="420">
        <v>0</v>
      </c>
      <c r="G95" s="420">
        <v>0</v>
      </c>
      <c r="H95" s="420">
        <v>0</v>
      </c>
      <c r="I95" s="420">
        <v>0</v>
      </c>
      <c r="J95" s="420">
        <v>0</v>
      </c>
      <c r="K95" s="420">
        <v>0</v>
      </c>
      <c r="L95" s="420">
        <v>0</v>
      </c>
      <c r="M95" s="420">
        <v>0</v>
      </c>
      <c r="N95" s="420">
        <v>0</v>
      </c>
    </row>
    <row r="96" spans="1:15" s="336" customFormat="1" x14ac:dyDescent="0.25">
      <c r="A96" s="529">
        <v>2019</v>
      </c>
      <c r="B96" s="530">
        <v>1.024</v>
      </c>
      <c r="C96" s="531">
        <f>C97*B96</f>
        <v>1208.32</v>
      </c>
      <c r="D96" s="420">
        <v>0</v>
      </c>
      <c r="E96" s="420">
        <v>0</v>
      </c>
      <c r="F96" s="420">
        <v>0</v>
      </c>
      <c r="G96" s="420">
        <v>0</v>
      </c>
      <c r="H96" s="420">
        <v>0</v>
      </c>
      <c r="I96" s="420">
        <v>0</v>
      </c>
      <c r="J96" s="420">
        <v>0</v>
      </c>
      <c r="K96" s="420">
        <v>0</v>
      </c>
      <c r="L96" s="420">
        <v>0</v>
      </c>
      <c r="M96" s="420">
        <v>0</v>
      </c>
      <c r="N96" s="420">
        <v>0</v>
      </c>
    </row>
    <row r="97" spans="1:15" s="465" customFormat="1" x14ac:dyDescent="0.25">
      <c r="A97" s="529">
        <v>2018</v>
      </c>
      <c r="B97" s="530"/>
      <c r="C97" s="420">
        <v>1180</v>
      </c>
      <c r="D97" s="420">
        <v>0</v>
      </c>
      <c r="E97" s="420">
        <v>0</v>
      </c>
      <c r="F97" s="420">
        <v>0</v>
      </c>
      <c r="G97" s="420">
        <v>0</v>
      </c>
      <c r="H97" s="420">
        <v>0</v>
      </c>
      <c r="I97" s="420">
        <v>0</v>
      </c>
      <c r="J97" s="420">
        <v>0</v>
      </c>
      <c r="K97" s="420">
        <v>0</v>
      </c>
      <c r="L97" s="420">
        <v>0</v>
      </c>
      <c r="M97" s="420">
        <v>0</v>
      </c>
      <c r="N97" s="420">
        <v>0</v>
      </c>
    </row>
    <row r="98" spans="1:15" s="465" customFormat="1" x14ac:dyDescent="0.25">
      <c r="A98" s="529">
        <v>2017</v>
      </c>
      <c r="B98" s="530">
        <f>2570/2458</f>
        <v>1.0455655004068349</v>
      </c>
      <c r="C98" s="420">
        <f>C101*B98</f>
        <v>1182.5345809601304</v>
      </c>
      <c r="D98" s="420">
        <f>$C98/5*2</f>
        <v>473.01383238405214</v>
      </c>
      <c r="E98" s="420">
        <f>$C98/5*2</f>
        <v>473.01383238405214</v>
      </c>
      <c r="F98" s="420">
        <v>0</v>
      </c>
      <c r="G98" s="420">
        <f>$C98/5*2</f>
        <v>473.01383238405214</v>
      </c>
      <c r="H98" s="420">
        <f>$C98/5*2</f>
        <v>473.01383238405214</v>
      </c>
      <c r="I98" s="420">
        <v>0</v>
      </c>
      <c r="J98" s="420">
        <v>0</v>
      </c>
      <c r="K98" s="420">
        <f>$C98/5*2</f>
        <v>473.01383238405214</v>
      </c>
      <c r="L98" s="420">
        <v>0</v>
      </c>
      <c r="M98" s="420">
        <v>0</v>
      </c>
      <c r="N98" s="420">
        <v>0</v>
      </c>
    </row>
    <row r="99" spans="1:15" s="465" customFormat="1" x14ac:dyDescent="0.25">
      <c r="A99" s="529">
        <v>2016</v>
      </c>
      <c r="B99" s="530">
        <v>1.02685</v>
      </c>
      <c r="C99" s="420">
        <f>C101*B99</f>
        <v>1161.36735</v>
      </c>
      <c r="D99" s="420">
        <f>$C99/7*2</f>
        <v>331.81924285714285</v>
      </c>
      <c r="E99" s="420">
        <f>$C99/7*2</f>
        <v>331.81924285714285</v>
      </c>
      <c r="F99" s="420">
        <v>0</v>
      </c>
      <c r="G99" s="420">
        <f>$C99/7*2</f>
        <v>331.81924285714285</v>
      </c>
      <c r="H99" s="420">
        <f>$C99/7*2</f>
        <v>331.81924285714285</v>
      </c>
      <c r="I99" s="420">
        <v>0</v>
      </c>
      <c r="J99" s="420">
        <v>0</v>
      </c>
      <c r="K99" s="420">
        <f>$C99/7*2</f>
        <v>331.81924285714285</v>
      </c>
      <c r="L99" s="420">
        <f>$C99/7*2</f>
        <v>331.81924285714285</v>
      </c>
      <c r="M99" s="420">
        <f>$C99/7*2</f>
        <v>331.81924285714285</v>
      </c>
      <c r="N99" s="420">
        <v>0</v>
      </c>
      <c r="O99" s="532" t="s">
        <v>337</v>
      </c>
    </row>
    <row r="100" spans="1:15" s="465" customFormat="1" x14ac:dyDescent="0.25">
      <c r="A100" s="529">
        <v>2015</v>
      </c>
      <c r="B100" s="533">
        <v>0.996</v>
      </c>
      <c r="C100" s="420">
        <f>C101*B100</f>
        <v>1126.4759999999999</v>
      </c>
      <c r="D100" s="420">
        <f>$C100/7</f>
        <v>160.92514285714284</v>
      </c>
      <c r="E100" s="420">
        <f>$C100/7</f>
        <v>160.92514285714284</v>
      </c>
      <c r="F100" s="420">
        <v>0</v>
      </c>
      <c r="G100" s="420">
        <f>$C100/7</f>
        <v>160.92514285714284</v>
      </c>
      <c r="H100" s="420">
        <f>$C100/7</f>
        <v>160.92514285714284</v>
      </c>
      <c r="I100" s="420">
        <v>0</v>
      </c>
      <c r="J100" s="420">
        <v>0</v>
      </c>
      <c r="K100" s="420">
        <f t="shared" ref="K100:M101" si="13">$C100/7</f>
        <v>160.92514285714284</v>
      </c>
      <c r="L100" s="420">
        <f t="shared" si="13"/>
        <v>160.92514285714284</v>
      </c>
      <c r="M100" s="420">
        <f t="shared" si="13"/>
        <v>160.92514285714284</v>
      </c>
      <c r="N100" s="420">
        <v>0</v>
      </c>
    </row>
    <row r="101" spans="1:15" s="465" customFormat="1" x14ac:dyDescent="0.25">
      <c r="A101" s="529">
        <v>2014</v>
      </c>
      <c r="B101" s="534" t="s">
        <v>156</v>
      </c>
      <c r="C101" s="420">
        <v>1131</v>
      </c>
      <c r="D101" s="420">
        <f>$C101/7</f>
        <v>161.57142857142858</v>
      </c>
      <c r="E101" s="420">
        <f>$C101/7</f>
        <v>161.57142857142858</v>
      </c>
      <c r="F101" s="420">
        <v>0</v>
      </c>
      <c r="G101" s="420">
        <f>$C101/7</f>
        <v>161.57142857142858</v>
      </c>
      <c r="H101" s="420">
        <f>$C101/7</f>
        <v>161.57142857142858</v>
      </c>
      <c r="I101" s="420">
        <v>0</v>
      </c>
      <c r="J101" s="420">
        <v>0</v>
      </c>
      <c r="K101" s="420">
        <f t="shared" si="13"/>
        <v>161.57142857142858</v>
      </c>
      <c r="L101" s="420">
        <f t="shared" si="13"/>
        <v>161.57142857142858</v>
      </c>
      <c r="M101" s="420">
        <f t="shared" si="13"/>
        <v>161.57142857142858</v>
      </c>
      <c r="N101" s="420">
        <v>0</v>
      </c>
    </row>
    <row r="102" spans="1:15" s="336" customFormat="1" x14ac:dyDescent="0.25">
      <c r="A102" s="424"/>
      <c r="B102" s="443"/>
      <c r="C102" s="535"/>
      <c r="D102" s="535"/>
      <c r="E102" s="535"/>
      <c r="F102" s="535"/>
      <c r="G102" s="535"/>
      <c r="H102" s="535"/>
      <c r="I102" s="535"/>
      <c r="J102" s="535"/>
      <c r="K102" s="535"/>
      <c r="L102" s="535"/>
      <c r="M102" s="535"/>
      <c r="N102" s="535"/>
    </row>
    <row r="103" spans="1:15" s="336" customFormat="1" x14ac:dyDescent="0.25">
      <c r="A103" s="536" t="s">
        <v>338</v>
      </c>
      <c r="B103" s="537"/>
      <c r="C103" s="537"/>
      <c r="D103" s="538"/>
      <c r="E103" s="537"/>
      <c r="F103" s="537"/>
      <c r="G103" s="537"/>
      <c r="H103" s="537"/>
      <c r="I103" s="537"/>
      <c r="J103" s="539"/>
      <c r="K103" s="537"/>
      <c r="L103" s="537"/>
      <c r="M103" s="537"/>
      <c r="N103" s="537"/>
      <c r="O103" s="537"/>
    </row>
    <row r="104" spans="1:15" s="336" customFormat="1" ht="51.75" x14ac:dyDescent="0.25">
      <c r="A104" s="431" t="s">
        <v>265</v>
      </c>
      <c r="B104" s="431" t="s">
        <v>220</v>
      </c>
      <c r="C104" s="431" t="s">
        <v>221</v>
      </c>
      <c r="D104" s="415" t="s">
        <v>222</v>
      </c>
      <c r="E104" s="415" t="s">
        <v>21</v>
      </c>
      <c r="F104" s="415" t="s">
        <v>27</v>
      </c>
      <c r="G104" s="415" t="s">
        <v>22</v>
      </c>
      <c r="H104" s="416" t="s">
        <v>36</v>
      </c>
      <c r="I104" s="415" t="s">
        <v>18</v>
      </c>
      <c r="J104" s="415" t="s">
        <v>223</v>
      </c>
      <c r="K104" s="415" t="s">
        <v>33</v>
      </c>
      <c r="L104" s="415" t="s">
        <v>30</v>
      </c>
      <c r="M104" s="415" t="s">
        <v>32</v>
      </c>
      <c r="N104" s="415" t="s">
        <v>20</v>
      </c>
      <c r="O104" s="415" t="s">
        <v>26</v>
      </c>
    </row>
    <row r="105" spans="1:15" s="336" customFormat="1" x14ac:dyDescent="0.25">
      <c r="A105" s="417">
        <v>2017</v>
      </c>
      <c r="B105" s="418">
        <f>2570/2458</f>
        <v>1.0455655004068349</v>
      </c>
      <c r="C105" s="540">
        <f>C108*B105</f>
        <v>1182.5345809601304</v>
      </c>
      <c r="D105" s="540">
        <v>0</v>
      </c>
      <c r="E105" s="540">
        <v>0</v>
      </c>
      <c r="F105" s="540">
        <v>0</v>
      </c>
      <c r="G105" s="540">
        <v>0</v>
      </c>
      <c r="H105" s="540">
        <v>0</v>
      </c>
      <c r="I105" s="540">
        <v>0</v>
      </c>
      <c r="J105" s="540">
        <v>0</v>
      </c>
      <c r="K105" s="540">
        <v>0</v>
      </c>
      <c r="L105" s="540">
        <v>0</v>
      </c>
      <c r="M105" s="540">
        <v>0</v>
      </c>
      <c r="N105" s="540">
        <v>0</v>
      </c>
      <c r="O105" s="540">
        <v>0</v>
      </c>
    </row>
    <row r="106" spans="1:15" s="336" customFormat="1" x14ac:dyDescent="0.25">
      <c r="A106" s="417">
        <v>2016</v>
      </c>
      <c r="B106" s="418">
        <v>1.02685</v>
      </c>
      <c r="C106" s="540">
        <f>C108*B106</f>
        <v>1161.36735</v>
      </c>
      <c r="D106" s="540">
        <v>0</v>
      </c>
      <c r="E106" s="540">
        <v>0</v>
      </c>
      <c r="F106" s="540">
        <v>0</v>
      </c>
      <c r="G106" s="540">
        <v>0</v>
      </c>
      <c r="H106" s="540">
        <v>0</v>
      </c>
      <c r="I106" s="540">
        <v>0</v>
      </c>
      <c r="J106" s="540">
        <v>0</v>
      </c>
      <c r="K106" s="540">
        <v>0</v>
      </c>
      <c r="L106" s="540">
        <v>0</v>
      </c>
      <c r="M106" s="540">
        <v>0</v>
      </c>
      <c r="N106" s="540">
        <v>0</v>
      </c>
      <c r="O106" s="540">
        <v>0</v>
      </c>
    </row>
    <row r="107" spans="1:15" s="336" customFormat="1" x14ac:dyDescent="0.25">
      <c r="A107" s="417">
        <v>2015</v>
      </c>
      <c r="B107" s="422">
        <v>0.996</v>
      </c>
      <c r="C107" s="540">
        <f>C108*B107</f>
        <v>1126.4759999999999</v>
      </c>
      <c r="D107" s="540">
        <v>0</v>
      </c>
      <c r="E107" s="540">
        <v>0</v>
      </c>
      <c r="F107" s="540">
        <v>0</v>
      </c>
      <c r="G107" s="540">
        <v>0</v>
      </c>
      <c r="H107" s="540">
        <v>0</v>
      </c>
      <c r="I107" s="540">
        <v>0</v>
      </c>
      <c r="J107" s="540">
        <v>0</v>
      </c>
      <c r="K107" s="540">
        <v>0</v>
      </c>
      <c r="L107" s="540">
        <v>0</v>
      </c>
      <c r="M107" s="540">
        <v>0</v>
      </c>
      <c r="N107" s="540">
        <v>0</v>
      </c>
      <c r="O107" s="540"/>
    </row>
    <row r="108" spans="1:15" s="336" customFormat="1" x14ac:dyDescent="0.25">
      <c r="A108" s="417">
        <v>2014</v>
      </c>
      <c r="B108" s="442" t="s">
        <v>156</v>
      </c>
      <c r="C108" s="540">
        <v>1131</v>
      </c>
      <c r="D108" s="540">
        <v>0</v>
      </c>
      <c r="E108" s="540">
        <v>0</v>
      </c>
      <c r="F108" s="540">
        <v>0</v>
      </c>
      <c r="G108" s="540">
        <v>0</v>
      </c>
      <c r="H108" s="540">
        <v>0</v>
      </c>
      <c r="I108" s="540">
        <v>0</v>
      </c>
      <c r="J108" s="540">
        <v>0</v>
      </c>
      <c r="K108" s="540">
        <v>0</v>
      </c>
      <c r="L108" s="540">
        <v>0</v>
      </c>
      <c r="M108" s="540">
        <v>0</v>
      </c>
      <c r="N108" s="540">
        <v>0</v>
      </c>
      <c r="O108" s="540"/>
    </row>
    <row r="109" spans="1:15" s="336" customFormat="1" x14ac:dyDescent="0.25">
      <c r="A109" s="411" t="s">
        <v>339</v>
      </c>
      <c r="B109" s="411"/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  <c r="O109" s="411"/>
    </row>
    <row r="110" spans="1:15" s="336" customFormat="1" ht="26.25" customHeight="1" x14ac:dyDescent="0.25">
      <c r="A110" s="431" t="s">
        <v>265</v>
      </c>
      <c r="B110" s="755" t="s">
        <v>90</v>
      </c>
      <c r="C110" s="755"/>
      <c r="D110" s="415" t="s">
        <v>222</v>
      </c>
      <c r="E110" s="415" t="s">
        <v>21</v>
      </c>
      <c r="F110" s="415" t="s">
        <v>27</v>
      </c>
      <c r="G110" s="415" t="s">
        <v>22</v>
      </c>
      <c r="H110" s="416" t="s">
        <v>36</v>
      </c>
      <c r="I110" s="415" t="s">
        <v>223</v>
      </c>
      <c r="J110" s="337"/>
      <c r="K110" s="337"/>
      <c r="L110" s="337"/>
      <c r="M110" s="337"/>
      <c r="N110" s="337"/>
      <c r="O110" s="337"/>
    </row>
    <row r="111" spans="1:15" s="336" customFormat="1" x14ac:dyDescent="0.25">
      <c r="A111" s="417">
        <v>2017</v>
      </c>
      <c r="B111" s="753">
        <v>0</v>
      </c>
      <c r="C111" s="753">
        <v>0</v>
      </c>
      <c r="D111" s="540">
        <f t="shared" ref="D111:I113" si="14">$C111/6</f>
        <v>0</v>
      </c>
      <c r="E111" s="540">
        <f t="shared" si="14"/>
        <v>0</v>
      </c>
      <c r="F111" s="540">
        <f t="shared" si="14"/>
        <v>0</v>
      </c>
      <c r="G111" s="540">
        <f t="shared" si="14"/>
        <v>0</v>
      </c>
      <c r="H111" s="540">
        <f t="shared" si="14"/>
        <v>0</v>
      </c>
      <c r="I111" s="540">
        <f t="shared" si="14"/>
        <v>0</v>
      </c>
      <c r="J111" s="337"/>
      <c r="K111" s="337"/>
      <c r="L111" s="337"/>
      <c r="M111" s="337"/>
      <c r="N111" s="337"/>
      <c r="O111" s="337"/>
    </row>
    <row r="112" spans="1:15" s="336" customFormat="1" x14ac:dyDescent="0.25">
      <c r="A112" s="417">
        <v>2016</v>
      </c>
      <c r="B112" s="753">
        <v>0</v>
      </c>
      <c r="C112" s="753">
        <v>0</v>
      </c>
      <c r="D112" s="540">
        <f t="shared" si="14"/>
        <v>0</v>
      </c>
      <c r="E112" s="540">
        <f t="shared" si="14"/>
        <v>0</v>
      </c>
      <c r="F112" s="540">
        <f t="shared" si="14"/>
        <v>0</v>
      </c>
      <c r="G112" s="540">
        <f t="shared" si="14"/>
        <v>0</v>
      </c>
      <c r="H112" s="540">
        <f t="shared" si="14"/>
        <v>0</v>
      </c>
      <c r="I112" s="540">
        <f t="shared" si="14"/>
        <v>0</v>
      </c>
      <c r="J112" s="337"/>
      <c r="K112" s="337"/>
      <c r="L112" s="337"/>
      <c r="M112" s="337"/>
      <c r="N112" s="337"/>
      <c r="O112" s="337"/>
    </row>
    <row r="113" spans="1:15" s="336" customFormat="1" x14ac:dyDescent="0.25">
      <c r="A113" s="417">
        <v>2015</v>
      </c>
      <c r="B113" s="753">
        <v>0</v>
      </c>
      <c r="C113" s="753">
        <v>0</v>
      </c>
      <c r="D113" s="540">
        <f t="shared" si="14"/>
        <v>0</v>
      </c>
      <c r="E113" s="540">
        <f t="shared" si="14"/>
        <v>0</v>
      </c>
      <c r="F113" s="540">
        <f t="shared" si="14"/>
        <v>0</v>
      </c>
      <c r="G113" s="540">
        <f t="shared" si="14"/>
        <v>0</v>
      </c>
      <c r="H113" s="540">
        <f t="shared" si="14"/>
        <v>0</v>
      </c>
      <c r="I113" s="540">
        <f t="shared" si="14"/>
        <v>0</v>
      </c>
      <c r="J113" s="337"/>
      <c r="K113" s="337"/>
      <c r="L113" s="337"/>
      <c r="M113" s="337"/>
      <c r="N113" s="337"/>
      <c r="O113" s="337"/>
    </row>
    <row r="114" spans="1:15" s="336" customFormat="1" x14ac:dyDescent="0.25">
      <c r="A114" s="417">
        <v>2014</v>
      </c>
      <c r="B114" s="753">
        <v>500</v>
      </c>
      <c r="C114" s="753">
        <v>500</v>
      </c>
      <c r="D114" s="540">
        <f t="shared" ref="D114:I114" si="15">$B$114/6</f>
        <v>83.333333333333329</v>
      </c>
      <c r="E114" s="540">
        <f t="shared" si="15"/>
        <v>83.333333333333329</v>
      </c>
      <c r="F114" s="540">
        <f t="shared" si="15"/>
        <v>83.333333333333329</v>
      </c>
      <c r="G114" s="540">
        <f t="shared" si="15"/>
        <v>83.333333333333329</v>
      </c>
      <c r="H114" s="540">
        <f t="shared" si="15"/>
        <v>83.333333333333329</v>
      </c>
      <c r="I114" s="540">
        <f t="shared" si="15"/>
        <v>83.333333333333329</v>
      </c>
      <c r="J114" s="337"/>
      <c r="K114" s="337"/>
      <c r="L114" s="337"/>
      <c r="M114" s="337"/>
      <c r="N114" s="337"/>
      <c r="O114" s="337"/>
    </row>
  </sheetData>
  <mergeCells count="38">
    <mergeCell ref="F36:G36"/>
    <mergeCell ref="Q1:S1"/>
    <mergeCell ref="F31:G31"/>
    <mergeCell ref="F32:G32"/>
    <mergeCell ref="F33:G33"/>
    <mergeCell ref="F34:G34"/>
    <mergeCell ref="F35:G35"/>
    <mergeCell ref="F1:F3"/>
    <mergeCell ref="G1:I1"/>
    <mergeCell ref="G2:I2"/>
    <mergeCell ref="B113:C113"/>
    <mergeCell ref="B114:C114"/>
    <mergeCell ref="A55:B55"/>
    <mergeCell ref="A59:B59"/>
    <mergeCell ref="A60:B60"/>
    <mergeCell ref="A61:B61"/>
    <mergeCell ref="B110:C110"/>
    <mergeCell ref="B111:C111"/>
    <mergeCell ref="A48:C48"/>
    <mergeCell ref="A52:B52"/>
    <mergeCell ref="A57:B57"/>
    <mergeCell ref="A58:B58"/>
    <mergeCell ref="B112:C112"/>
    <mergeCell ref="A38:C38"/>
    <mergeCell ref="A40:C40"/>
    <mergeCell ref="A45:C45"/>
    <mergeCell ref="A46:C46"/>
    <mergeCell ref="A47:C47"/>
    <mergeCell ref="A32:B32"/>
    <mergeCell ref="A33:B33"/>
    <mergeCell ref="A34:B34"/>
    <mergeCell ref="A35:B35"/>
    <mergeCell ref="A36:B36"/>
    <mergeCell ref="A1:A3"/>
    <mergeCell ref="B1:D1"/>
    <mergeCell ref="L1:N1"/>
    <mergeCell ref="B2:D2"/>
    <mergeCell ref="A31:B3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1476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BUDGET ETUDES CNIV</vt:lpstr>
      <vt:lpstr>COUT PAR IP DES OUTILS</vt:lpstr>
      <vt:lpstr>MONOPOLES</vt:lpstr>
      <vt:lpstr>PANELS IRI</vt:lpstr>
      <vt:lpstr>Monographies vin</vt:lpstr>
      <vt:lpstr>Feuil1</vt:lpstr>
      <vt:lpstr>IRI FR VT</vt:lpstr>
      <vt:lpstr>IRI FR EFF</vt:lpstr>
      <vt:lpstr>IRI UK</vt:lpstr>
      <vt:lpstr>IRI ALL</vt:lpstr>
      <vt:lpstr>IRI PB</vt:lpstr>
      <vt:lpstr>KANTAR</vt:lpstr>
      <vt:lpstr>GfK</vt:lpstr>
      <vt:lpstr> DETAIL MONOPOLES</vt:lpstr>
      <vt:lpstr>PANEL CHR FRANCE</vt:lpstr>
      <vt:lpstr>ANNEXE 1 Grille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Visiteur</dc:creator>
  <cp:lastModifiedBy>Marie-Henriette IMBERTI</cp:lastModifiedBy>
  <cp:revision>4</cp:revision>
  <cp:lastPrinted>2019-10-23T13:25:42Z</cp:lastPrinted>
  <dcterms:created xsi:type="dcterms:W3CDTF">2013-12-03T09:49:05Z</dcterms:created>
  <dcterms:modified xsi:type="dcterms:W3CDTF">2019-11-14T10:24:46Z</dcterms:modified>
  <dc:language>fr-FR</dc:language>
</cp:coreProperties>
</file>