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1 - Budget économie\1 - Budget - Outil de pilotage\2023\"/>
    </mc:Choice>
  </mc:AlternateContent>
  <xr:revisionPtr revIDLastSave="0" documentId="13_ncr:1_{7B427A3F-B3D5-4F24-AB67-DACD773FFA5A}" xr6:coauthVersionLast="47" xr6:coauthVersionMax="47" xr10:uidLastSave="{00000000-0000-0000-0000-000000000000}"/>
  <bookViews>
    <workbookView xWindow="-108" yWindow="-108" windowWidth="23256" windowHeight="12576" tabRatio="944" xr2:uid="{00000000-000D-0000-FFFF-FFFF00000000}"/>
  </bookViews>
  <sheets>
    <sheet name="BUDGET ETUDES CNIV" sheetId="1" r:id="rId1"/>
    <sheet name="Facturation CNIV" sheetId="29" r:id="rId2"/>
    <sheet name="COUT PAR IP DES OUTILS" sheetId="2" r:id="rId3"/>
    <sheet name="Feuil1" sheetId="7" state="hidden" r:id="rId4"/>
    <sheet name="IRI FR VT" sheetId="9" r:id="rId5"/>
    <sheet name="IRI FR EFF" sheetId="10" r:id="rId6"/>
    <sheet name="KANTAR" sheetId="28" r:id="rId7"/>
    <sheet name="Panel CHR" sheetId="27" r:id="rId8"/>
    <sheet name="RO CHR" sheetId="47" state="hidden" r:id="rId9"/>
    <sheet name="RO e-commerce" sheetId="31" r:id="rId10"/>
    <sheet name="RO Cavistes" sheetId="26" state="hidden" r:id="rId11"/>
    <sheet name="Etude quinquennale " sheetId="36" r:id="rId12"/>
    <sheet name="IRI UK VT" sheetId="48" r:id="rId13"/>
    <sheet name="IRI UK VE" sheetId="49" r:id="rId14"/>
    <sheet name="IRI All" sheetId="22" r:id="rId15"/>
    <sheet name="IRI PB" sheetId="13" r:id="rId16"/>
    <sheet name="GfK BE" sheetId="15" r:id="rId17"/>
    <sheet name="GTI" sheetId="20" r:id="rId18"/>
    <sheet name="AGREX All" sheetId="45" r:id="rId19"/>
    <sheet name="DETAIL MONOPOLES" sheetId="16" r:id="rId20"/>
    <sheet name="Etude USA" sheetId="39" r:id="rId21"/>
    <sheet name="WINE INTELLIGENCE" sheetId="19" r:id="rId22"/>
    <sheet name="OUTIL RO" sheetId="37" r:id="rId23"/>
    <sheet name="CAVISTES" sheetId="38" r:id="rId24"/>
    <sheet name="ANNEXE 1 Grille" sheetId="18" r:id="rId25"/>
    <sheet name="Indice Syntec" sheetId="44" r:id="rId26"/>
  </sheets>
  <definedNames>
    <definedName name="_xlnm.Print_Titles" localSheetId="2">'COUT PAR IP DES OUTILS'!$A:$A</definedName>
    <definedName name="_xlnm.Print_Titles" localSheetId="1">'Facturation CNIV'!$A:$A</definedName>
    <definedName name="_xlnm.Print_Area" localSheetId="2">'COUT PAR IP DES OUTILS'!$A$1:$AB$28</definedName>
    <definedName name="_xlnm.Print_Area" localSheetId="1">'Facturation CNIV'!$A$1:$M$31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8" l="1"/>
  <c r="D33" i="28"/>
  <c r="J35" i="1"/>
  <c r="J34" i="1"/>
  <c r="J33" i="1"/>
  <c r="J32" i="1"/>
  <c r="E29" i="48"/>
  <c r="K35" i="1"/>
  <c r="K19" i="1"/>
  <c r="K21" i="1"/>
  <c r="K22" i="1"/>
  <c r="K23" i="1"/>
  <c r="K24" i="1"/>
  <c r="K25" i="1"/>
  <c r="K26" i="1"/>
  <c r="K27" i="1"/>
  <c r="K18" i="1"/>
  <c r="K7" i="1"/>
  <c r="K8" i="1"/>
  <c r="K9" i="1"/>
  <c r="K10" i="1"/>
  <c r="K11" i="1"/>
  <c r="K12" i="1"/>
  <c r="K13" i="1"/>
  <c r="K14" i="1"/>
  <c r="J27" i="1"/>
  <c r="J26" i="1"/>
  <c r="J25" i="1"/>
  <c r="J24" i="1"/>
  <c r="J23" i="1"/>
  <c r="J22" i="1"/>
  <c r="H22" i="1"/>
  <c r="G22" i="1"/>
  <c r="F22" i="1"/>
  <c r="P2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4" i="2"/>
  <c r="C33" i="22"/>
  <c r="B30" i="22"/>
  <c r="B7" i="22"/>
  <c r="J21" i="1"/>
  <c r="J20" i="1"/>
  <c r="K20" i="1" s="1"/>
  <c r="J19" i="1"/>
  <c r="J18" i="1"/>
  <c r="J14" i="1"/>
  <c r="J13" i="1"/>
  <c r="J12" i="1"/>
  <c r="K6" i="1"/>
  <c r="J11" i="1"/>
  <c r="J10" i="1"/>
  <c r="J8" i="1"/>
  <c r="J7" i="1"/>
  <c r="J6" i="1"/>
  <c r="J28" i="1" l="1"/>
  <c r="K28" i="1"/>
  <c r="K37" i="1" s="1"/>
  <c r="K38" i="1"/>
  <c r="J38" i="1" l="1"/>
  <c r="J37" i="1"/>
  <c r="G6" i="29" l="1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5" i="29"/>
  <c r="G4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5" i="29"/>
  <c r="F4" i="29"/>
  <c r="B34" i="45"/>
  <c r="B28" i="45" s="1"/>
  <c r="C47" i="36"/>
  <c r="B38" i="36"/>
  <c r="B35" i="36" s="1"/>
  <c r="C39" i="36"/>
  <c r="B42" i="36"/>
  <c r="C49" i="36" s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4" i="2"/>
  <c r="W27" i="2"/>
  <c r="B34" i="31"/>
  <c r="D29" i="48"/>
  <c r="D9" i="48" l="1"/>
  <c r="D10" i="48"/>
  <c r="D11" i="48"/>
  <c r="D12" i="48"/>
  <c r="D13" i="48"/>
  <c r="D17" i="48"/>
  <c r="D19" i="48"/>
  <c r="D20" i="48"/>
  <c r="D22" i="48"/>
  <c r="D23" i="48"/>
  <c r="D25" i="48"/>
  <c r="D26" i="48"/>
  <c r="D27" i="48"/>
  <c r="D7" i="48"/>
  <c r="B7" i="48"/>
  <c r="B28" i="15"/>
  <c r="D27" i="2" l="1"/>
  <c r="C27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4" i="2"/>
  <c r="H26" i="18" l="1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5" i="18"/>
  <c r="B30" i="28"/>
  <c r="D28" i="28"/>
  <c r="D29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7" i="28"/>
  <c r="C29" i="10"/>
  <c r="D2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7" i="10"/>
  <c r="B30" i="10"/>
  <c r="C33" i="10"/>
  <c r="C20" i="13" l="1"/>
  <c r="C12" i="13"/>
  <c r="B40" i="49"/>
  <c r="B37" i="49"/>
  <c r="B36" i="49"/>
  <c r="N12" i="2"/>
  <c r="N13" i="2"/>
  <c r="N15" i="2"/>
  <c r="N18" i="2"/>
  <c r="N21" i="2"/>
  <c r="N11" i="2"/>
  <c r="N5" i="2"/>
  <c r="E14" i="48"/>
  <c r="E15" i="48"/>
  <c r="E21" i="48"/>
  <c r="C26" i="48"/>
  <c r="C19" i="48"/>
  <c r="B40" i="48"/>
  <c r="B37" i="48"/>
  <c r="C20" i="48" s="1"/>
  <c r="B36" i="48"/>
  <c r="E8" i="48"/>
  <c r="C22" i="48" l="1"/>
  <c r="C12" i="48"/>
  <c r="C27" i="48"/>
  <c r="C11" i="48"/>
  <c r="B33" i="49"/>
  <c r="B33" i="48"/>
  <c r="C29" i="48"/>
  <c r="C30" i="48" s="1"/>
  <c r="N4" i="2" l="1"/>
  <c r="B17" i="48"/>
  <c r="N14" i="2" s="1"/>
  <c r="B19" i="48"/>
  <c r="N16" i="2" s="1"/>
  <c r="B28" i="49"/>
  <c r="B34" i="49"/>
  <c r="B34" i="48"/>
  <c r="B28" i="48"/>
  <c r="C23" i="9"/>
  <c r="C11" i="9"/>
  <c r="C20" i="9"/>
  <c r="C19" i="9"/>
  <c r="F2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4" i="2"/>
  <c r="C35" i="47"/>
  <c r="B44" i="47"/>
  <c r="B41" i="47"/>
  <c r="B36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9" i="47"/>
  <c r="B7" i="47"/>
  <c r="B41" i="27"/>
  <c r="S5" i="2"/>
  <c r="S11" i="2"/>
  <c r="S13" i="2"/>
  <c r="S15" i="2"/>
  <c r="S18" i="2"/>
  <c r="S21" i="2"/>
  <c r="B37" i="15"/>
  <c r="B40" i="15"/>
  <c r="B37" i="45"/>
  <c r="B27" i="45"/>
  <c r="S24" i="2" s="1"/>
  <c r="C33" i="9"/>
  <c r="B28" i="22"/>
  <c r="B28" i="13"/>
  <c r="B37" i="13"/>
  <c r="B40" i="13"/>
  <c r="B37" i="22"/>
  <c r="B40" i="22"/>
  <c r="B37" i="28"/>
  <c r="B40" i="28"/>
  <c r="B37" i="10"/>
  <c r="B40" i="10"/>
  <c r="C9" i="44"/>
  <c r="B37" i="9"/>
  <c r="C4" i="44"/>
  <c r="B39" i="9"/>
  <c r="B40" i="9" s="1"/>
  <c r="S27" i="2" l="1"/>
  <c r="O27" i="2"/>
  <c r="B7" i="49"/>
  <c r="B27" i="49"/>
  <c r="B26" i="49"/>
  <c r="B19" i="49"/>
  <c r="B15" i="49"/>
  <c r="B12" i="49"/>
  <c r="B25" i="49"/>
  <c r="B11" i="49"/>
  <c r="N27" i="2"/>
  <c r="B10" i="48"/>
  <c r="N7" i="2" s="1"/>
  <c r="B22" i="48"/>
  <c r="N19" i="2" s="1"/>
  <c r="B23" i="48"/>
  <c r="N20" i="2" s="1"/>
  <c r="B13" i="48"/>
  <c r="B27" i="48"/>
  <c r="N24" i="2" s="1"/>
  <c r="B12" i="48"/>
  <c r="N9" i="2" s="1"/>
  <c r="B25" i="48"/>
  <c r="B26" i="48"/>
  <c r="N23" i="2" s="1"/>
  <c r="B11" i="48"/>
  <c r="N8" i="2" s="1"/>
  <c r="B20" i="48"/>
  <c r="N17" i="2" s="1"/>
  <c r="B9" i="48"/>
  <c r="N6" i="2" s="1"/>
  <c r="E10" i="48"/>
  <c r="E17" i="48"/>
  <c r="E9" i="48"/>
  <c r="E16" i="48"/>
  <c r="E7" i="48"/>
  <c r="E19" i="48"/>
  <c r="E12" i="48"/>
  <c r="E24" i="48"/>
  <c r="E18" i="48"/>
  <c r="B29" i="47"/>
  <c r="B30" i="47" s="1"/>
  <c r="B32" i="47" s="1"/>
  <c r="B13" i="45"/>
  <c r="S10" i="2" s="1"/>
  <c r="B22" i="45"/>
  <c r="S19" i="2" s="1"/>
  <c r="B23" i="45"/>
  <c r="S20" i="2" s="1"/>
  <c r="B25" i="45"/>
  <c r="S22" i="2" s="1"/>
  <c r="B11" i="45"/>
  <c r="S8" i="2" s="1"/>
  <c r="B10" i="45"/>
  <c r="S7" i="2" s="1"/>
  <c r="B12" i="45"/>
  <c r="S9" i="2" s="1"/>
  <c r="B15" i="45"/>
  <c r="S12" i="2" s="1"/>
  <c r="B17" i="45"/>
  <c r="S14" i="2" s="1"/>
  <c r="B9" i="45"/>
  <c r="S6" i="2" s="1"/>
  <c r="B19" i="45"/>
  <c r="S16" i="2" s="1"/>
  <c r="B7" i="45"/>
  <c r="S4" i="2" s="1"/>
  <c r="B20" i="45"/>
  <c r="S17" i="2" s="1"/>
  <c r="B26" i="45"/>
  <c r="S23" i="2" s="1"/>
  <c r="E26" i="48" l="1"/>
  <c r="N22" i="2"/>
  <c r="E25" i="48"/>
  <c r="E20" i="48"/>
  <c r="E23" i="48"/>
  <c r="N10" i="2"/>
  <c r="E13" i="48"/>
  <c r="E22" i="48"/>
  <c r="E11" i="48"/>
  <c r="E27" i="48"/>
  <c r="B29" i="49"/>
  <c r="C33" i="49" s="1"/>
  <c r="B29" i="48"/>
  <c r="B29" i="45"/>
  <c r="B30" i="45" s="1"/>
  <c r="J29" i="29"/>
  <c r="E28" i="29"/>
  <c r="E29" i="29"/>
  <c r="J28" i="29"/>
  <c r="B30" i="49" l="1"/>
  <c r="B30" i="48"/>
  <c r="C33" i="48"/>
  <c r="D29" i="29"/>
  <c r="D28" i="29"/>
  <c r="K24" i="29"/>
  <c r="K31" i="29" s="1"/>
  <c r="G24" i="29"/>
  <c r="G31" i="29" s="1"/>
  <c r="F24" i="29"/>
  <c r="F31" i="29" s="1"/>
  <c r="E30" i="48" l="1"/>
  <c r="B28" i="37"/>
  <c r="B28" i="38"/>
  <c r="B28" i="39"/>
  <c r="D8" i="13" l="1"/>
  <c r="D14" i="13"/>
  <c r="D15" i="13"/>
  <c r="D16" i="13"/>
  <c r="D18" i="13"/>
  <c r="D21" i="13"/>
  <c r="D24" i="13"/>
  <c r="Q5" i="2"/>
  <c r="Q11" i="2"/>
  <c r="Q12" i="2"/>
  <c r="Q13" i="2"/>
  <c r="Q15" i="2"/>
  <c r="Q18" i="2"/>
  <c r="Q21" i="2"/>
  <c r="B11" i="2" l="1"/>
  <c r="B12" i="2"/>
  <c r="B18" i="2"/>
  <c r="B5" i="2"/>
  <c r="D21" i="9"/>
  <c r="D15" i="9"/>
  <c r="D14" i="9"/>
  <c r="D8" i="9"/>
  <c r="J25" i="29" l="1"/>
  <c r="I25" i="29"/>
  <c r="E25" i="29" s="1"/>
  <c r="D25" i="29" l="1"/>
  <c r="B25" i="29" s="1"/>
  <c r="E28" i="1" l="1"/>
  <c r="E14" i="1"/>
  <c r="F35" i="1"/>
  <c r="G35" i="1"/>
  <c r="H35" i="1"/>
  <c r="E35" i="1"/>
  <c r="I32" i="1"/>
  <c r="I35" i="1" s="1"/>
  <c r="E37" i="1" l="1"/>
  <c r="E38" i="1" s="1"/>
  <c r="AE25" i="2" l="1"/>
  <c r="AE28" i="2" l="1"/>
  <c r="W5" i="2" l="1"/>
  <c r="W11" i="2"/>
  <c r="W13" i="2"/>
  <c r="W15" i="2"/>
  <c r="W18" i="2"/>
  <c r="W21" i="2"/>
  <c r="K5" i="2"/>
  <c r="J5" i="2"/>
  <c r="C55" i="18" l="1"/>
  <c r="D55" i="18"/>
  <c r="B55" i="18"/>
  <c r="C56" i="18"/>
  <c r="D56" i="18"/>
  <c r="B56" i="18"/>
  <c r="B17" i="39"/>
  <c r="C54" i="18"/>
  <c r="B19" i="38" s="1"/>
  <c r="D54" i="18"/>
  <c r="B54" i="18"/>
  <c r="C53" i="18"/>
  <c r="D53" i="18"/>
  <c r="B53" i="18"/>
  <c r="C37" i="16"/>
  <c r="F34" i="16" s="1"/>
  <c r="E34" i="16"/>
  <c r="B35" i="20"/>
  <c r="D34" i="16" l="1"/>
  <c r="B27" i="38"/>
  <c r="C34" i="16"/>
  <c r="B7" i="39"/>
  <c r="B15" i="39"/>
  <c r="B16" i="38"/>
  <c r="B14" i="37"/>
  <c r="W14" i="2"/>
  <c r="B11" i="39"/>
  <c r="W4" i="2"/>
  <c r="B26" i="39"/>
  <c r="B25" i="39"/>
  <c r="B10" i="39"/>
  <c r="B13" i="39"/>
  <c r="B20" i="39"/>
  <c r="B9" i="39"/>
  <c r="W12" i="2"/>
  <c r="B12" i="39"/>
  <c r="B22" i="39"/>
  <c r="B19" i="39"/>
  <c r="B27" i="39"/>
  <c r="B23" i="39"/>
  <c r="K13" i="2"/>
  <c r="K16" i="2"/>
  <c r="B11" i="38"/>
  <c r="B26" i="38"/>
  <c r="B17" i="38"/>
  <c r="B24" i="38"/>
  <c r="K27" i="2"/>
  <c r="B22" i="38"/>
  <c r="B14" i="38"/>
  <c r="B18" i="38"/>
  <c r="B25" i="38"/>
  <c r="B23" i="38"/>
  <c r="B13" i="38"/>
  <c r="B10" i="38"/>
  <c r="B9" i="38"/>
  <c r="B15" i="38"/>
  <c r="B21" i="38"/>
  <c r="B7" i="38"/>
  <c r="B20" i="38"/>
  <c r="B12" i="38"/>
  <c r="B24" i="37"/>
  <c r="J27" i="2"/>
  <c r="B15" i="37"/>
  <c r="B22" i="37"/>
  <c r="B20" i="37"/>
  <c r="B12" i="37"/>
  <c r="B19" i="37"/>
  <c r="B11" i="37"/>
  <c r="B23" i="37"/>
  <c r="B13" i="37"/>
  <c r="B27" i="37"/>
  <c r="B26" i="37"/>
  <c r="B18" i="37"/>
  <c r="B10" i="37"/>
  <c r="B16" i="37"/>
  <c r="B21" i="37"/>
  <c r="B7" i="37"/>
  <c r="B25" i="37"/>
  <c r="B17" i="37"/>
  <c r="B9" i="37"/>
  <c r="K24" i="2" l="1"/>
  <c r="J11" i="2"/>
  <c r="B29" i="39"/>
  <c r="B30" i="39" s="1"/>
  <c r="W19" i="2"/>
  <c r="W22" i="2"/>
  <c r="W23" i="2"/>
  <c r="W7" i="2"/>
  <c r="W9" i="2"/>
  <c r="W6" i="2"/>
  <c r="W8" i="2"/>
  <c r="W20" i="2"/>
  <c r="W17" i="2"/>
  <c r="W16" i="2"/>
  <c r="W24" i="2"/>
  <c r="W10" i="2"/>
  <c r="K4" i="2"/>
  <c r="K8" i="2"/>
  <c r="K22" i="2"/>
  <c r="K11" i="2"/>
  <c r="K6" i="2"/>
  <c r="H13" i="1"/>
  <c r="K19" i="2"/>
  <c r="K7" i="2"/>
  <c r="K23" i="2"/>
  <c r="K18" i="2"/>
  <c r="B29" i="38"/>
  <c r="B30" i="38" s="1"/>
  <c r="K10" i="2"/>
  <c r="K21" i="2"/>
  <c r="K17" i="2"/>
  <c r="K15" i="2"/>
  <c r="K12" i="2"/>
  <c r="K9" i="2"/>
  <c r="K20" i="2"/>
  <c r="K14" i="2"/>
  <c r="J19" i="2"/>
  <c r="J12" i="2"/>
  <c r="J10" i="2"/>
  <c r="H12" i="1"/>
  <c r="J15" i="2"/>
  <c r="J20" i="2"/>
  <c r="J17" i="2"/>
  <c r="J24" i="2"/>
  <c r="J21" i="2"/>
  <c r="J23" i="2"/>
  <c r="J22" i="2"/>
  <c r="J18" i="2"/>
  <c r="J16" i="2"/>
  <c r="J6" i="2"/>
  <c r="J14" i="2"/>
  <c r="J4" i="2"/>
  <c r="J8" i="2"/>
  <c r="J13" i="2"/>
  <c r="J7" i="2"/>
  <c r="J9" i="2"/>
  <c r="H27" i="1"/>
  <c r="C46" i="18"/>
  <c r="D45" i="18"/>
  <c r="C45" i="18"/>
  <c r="B34" i="27"/>
  <c r="W25" i="2" l="1"/>
  <c r="W28" i="2" s="1"/>
  <c r="F27" i="1" s="1"/>
  <c r="K25" i="2"/>
  <c r="K28" i="2" s="1"/>
  <c r="F13" i="1" s="1"/>
  <c r="J25" i="2"/>
  <c r="J28" i="2" s="1"/>
  <c r="F12" i="1" s="1"/>
  <c r="G27" i="1" l="1"/>
  <c r="I13" i="1"/>
  <c r="I27" i="1"/>
  <c r="G13" i="1"/>
  <c r="I12" i="1"/>
  <c r="G12" i="1"/>
  <c r="Y28" i="2"/>
  <c r="C49" i="18" l="1"/>
  <c r="D49" i="18"/>
  <c r="B49" i="18"/>
  <c r="C31" i="18" l="1"/>
  <c r="D31" i="18"/>
  <c r="B31" i="18"/>
  <c r="B24" i="19" l="1"/>
  <c r="B10" i="19"/>
  <c r="B26" i="19"/>
  <c r="B11" i="19"/>
  <c r="B27" i="19"/>
  <c r="B12" i="19"/>
  <c r="B7" i="19"/>
  <c r="B19" i="19"/>
  <c r="B15" i="19"/>
  <c r="B20" i="19"/>
  <c r="B22" i="19"/>
  <c r="B23" i="19"/>
  <c r="B17" i="19"/>
  <c r="B13" i="19"/>
  <c r="B25" i="19"/>
  <c r="B9" i="19"/>
  <c r="I27" i="2"/>
  <c r="H9" i="1" s="1"/>
  <c r="C52" i="18"/>
  <c r="D52" i="18"/>
  <c r="B52" i="18"/>
  <c r="I8" i="2" l="1"/>
  <c r="I7" i="2"/>
  <c r="I23" i="2"/>
  <c r="I18" i="2"/>
  <c r="I12" i="2"/>
  <c r="I11" i="2"/>
  <c r="I13" i="2"/>
  <c r="I6" i="2" l="1"/>
  <c r="I19" i="2"/>
  <c r="I24" i="2"/>
  <c r="I4" i="2"/>
  <c r="I10" i="2"/>
  <c r="I5" i="2"/>
  <c r="I15" i="2"/>
  <c r="I14" i="2"/>
  <c r="I20" i="2"/>
  <c r="I17" i="2"/>
  <c r="I21" i="2"/>
  <c r="I9" i="2"/>
  <c r="I16" i="2"/>
  <c r="I22" i="2"/>
  <c r="D46" i="18"/>
  <c r="B46" i="18"/>
  <c r="I25" i="2" l="1"/>
  <c r="B31" i="36"/>
  <c r="C51" i="18"/>
  <c r="D51" i="18"/>
  <c r="B51" i="18"/>
  <c r="I28" i="2" l="1"/>
  <c r="F9" i="1" s="1"/>
  <c r="Y12" i="2"/>
  <c r="C11" i="29" s="1"/>
  <c r="Y23" i="2"/>
  <c r="Y17" i="2"/>
  <c r="Y11" i="2"/>
  <c r="Y22" i="2"/>
  <c r="Y16" i="2"/>
  <c r="Y10" i="2"/>
  <c r="Y21" i="2"/>
  <c r="Y15" i="2"/>
  <c r="Y9" i="2"/>
  <c r="Y4" i="2"/>
  <c r="Y20" i="2"/>
  <c r="Y14" i="2"/>
  <c r="Y8" i="2"/>
  <c r="Y6" i="2"/>
  <c r="Y19" i="2"/>
  <c r="Y13" i="2"/>
  <c r="Y7" i="2"/>
  <c r="Y24" i="2"/>
  <c r="Y18" i="2"/>
  <c r="G9" i="1" l="1"/>
  <c r="I9" i="1"/>
  <c r="C13" i="29"/>
  <c r="C9" i="29"/>
  <c r="C6" i="29"/>
  <c r="C19" i="29"/>
  <c r="C15" i="29"/>
  <c r="C12" i="29"/>
  <c r="C4" i="29"/>
  <c r="C21" i="29"/>
  <c r="C18" i="29"/>
  <c r="C8" i="29"/>
  <c r="C10" i="29"/>
  <c r="C17" i="29"/>
  <c r="C5" i="29"/>
  <c r="C14" i="29"/>
  <c r="C16" i="29"/>
  <c r="C23" i="29"/>
  <c r="C7" i="29"/>
  <c r="C20" i="29"/>
  <c r="C22" i="29"/>
  <c r="B45" i="18" l="1"/>
  <c r="B34" i="16" l="1"/>
  <c r="B36" i="15"/>
  <c r="B33" i="15"/>
  <c r="B33" i="13"/>
  <c r="B36" i="13"/>
  <c r="B36" i="22"/>
  <c r="B33" i="22"/>
  <c r="B34" i="22" s="1"/>
  <c r="H5" i="2"/>
  <c r="I27" i="29" s="1"/>
  <c r="B35" i="27"/>
  <c r="B37" i="27"/>
  <c r="B33" i="28"/>
  <c r="B36" i="28"/>
  <c r="B33" i="10"/>
  <c r="B36" i="10"/>
  <c r="B36" i="9"/>
  <c r="B33" i="9"/>
  <c r="B28" i="9" s="1"/>
  <c r="B28" i="28" l="1"/>
  <c r="B34" i="10"/>
  <c r="B28" i="10"/>
  <c r="B34" i="15"/>
  <c r="B34" i="9"/>
  <c r="B34" i="13"/>
  <c r="B34" i="28"/>
  <c r="C48" i="18"/>
  <c r="D48" i="18"/>
  <c r="B48" i="18"/>
  <c r="C47" i="18"/>
  <c r="D47" i="18"/>
  <c r="B47" i="18"/>
  <c r="C50" i="18"/>
  <c r="D50" i="18"/>
  <c r="B50" i="18"/>
  <c r="C44" i="18"/>
  <c r="D44" i="18"/>
  <c r="B44" i="18"/>
  <c r="C43" i="18"/>
  <c r="D43" i="18"/>
  <c r="B43" i="18"/>
  <c r="C42" i="18"/>
  <c r="D42" i="18"/>
  <c r="B42" i="18"/>
  <c r="C41" i="18"/>
  <c r="D41" i="18"/>
  <c r="B41" i="18"/>
  <c r="C40" i="18"/>
  <c r="D40" i="18"/>
  <c r="B40" i="18"/>
  <c r="C39" i="18"/>
  <c r="D39" i="18"/>
  <c r="B39" i="18"/>
  <c r="C38" i="18"/>
  <c r="D38" i="18"/>
  <c r="B38" i="18"/>
  <c r="C37" i="18"/>
  <c r="D37" i="18"/>
  <c r="B37" i="18"/>
  <c r="C36" i="18"/>
  <c r="D36" i="18"/>
  <c r="B36" i="18"/>
  <c r="C35" i="18"/>
  <c r="D35" i="18"/>
  <c r="B35" i="18"/>
  <c r="C34" i="18"/>
  <c r="D34" i="18"/>
  <c r="B34" i="18"/>
  <c r="C33" i="18"/>
  <c r="D33" i="18"/>
  <c r="B33" i="18"/>
  <c r="C32" i="18"/>
  <c r="D32" i="18"/>
  <c r="B32" i="18"/>
  <c r="B11" i="20" l="1"/>
  <c r="B22" i="20"/>
  <c r="B12" i="20"/>
  <c r="B23" i="20"/>
  <c r="B13" i="20"/>
  <c r="B25" i="20"/>
  <c r="B26" i="20"/>
  <c r="B15" i="20"/>
  <c r="B14" i="20"/>
  <c r="B27" i="20"/>
  <c r="B20" i="20"/>
  <c r="B17" i="20"/>
  <c r="B7" i="20"/>
  <c r="B9" i="20"/>
  <c r="B19" i="20"/>
  <c r="B10" i="20"/>
  <c r="E22" i="16"/>
  <c r="E23" i="16"/>
  <c r="E25" i="16"/>
  <c r="E26" i="16"/>
  <c r="E27" i="16"/>
  <c r="E11" i="16"/>
  <c r="E12" i="16"/>
  <c r="E13" i="16"/>
  <c r="E14" i="16"/>
  <c r="E7" i="16"/>
  <c r="E15" i="16"/>
  <c r="E17" i="16"/>
  <c r="E9" i="16"/>
  <c r="E19" i="16"/>
  <c r="E20" i="16"/>
  <c r="E10" i="16"/>
  <c r="C11" i="16"/>
  <c r="C22" i="16"/>
  <c r="C12" i="16"/>
  <c r="C23" i="16"/>
  <c r="C13" i="16"/>
  <c r="C26" i="16"/>
  <c r="C15" i="16"/>
  <c r="C20" i="16"/>
  <c r="C25" i="16"/>
  <c r="C14" i="16"/>
  <c r="C27" i="16"/>
  <c r="C17" i="16"/>
  <c r="C7" i="16"/>
  <c r="C9" i="16"/>
  <c r="C19" i="16"/>
  <c r="C10" i="16"/>
  <c r="B12" i="26"/>
  <c r="B20" i="26"/>
  <c r="B7" i="26"/>
  <c r="B14" i="26"/>
  <c r="B15" i="26"/>
  <c r="B26" i="26"/>
  <c r="B13" i="26"/>
  <c r="B21" i="26"/>
  <c r="B22" i="26"/>
  <c r="B10" i="26"/>
  <c r="B16" i="26"/>
  <c r="B24" i="26"/>
  <c r="B9" i="26"/>
  <c r="B17" i="26"/>
  <c r="B25" i="26"/>
  <c r="B18" i="26"/>
  <c r="B11" i="26"/>
  <c r="B19" i="26"/>
  <c r="B27" i="26"/>
  <c r="B23" i="26"/>
  <c r="F23" i="16"/>
  <c r="F14" i="16"/>
  <c r="F10" i="16"/>
  <c r="F9" i="16"/>
  <c r="F25" i="16"/>
  <c r="F22" i="16"/>
  <c r="F13" i="16"/>
  <c r="F7" i="16"/>
  <c r="F17" i="16"/>
  <c r="F12" i="16"/>
  <c r="F15" i="16"/>
  <c r="F11" i="16"/>
  <c r="F27" i="16"/>
  <c r="F26" i="16"/>
  <c r="F20" i="16"/>
  <c r="F19" i="16"/>
  <c r="D11" i="16"/>
  <c r="D22" i="16"/>
  <c r="D12" i="16"/>
  <c r="D23" i="16"/>
  <c r="D25" i="16"/>
  <c r="D26" i="16"/>
  <c r="D27" i="16"/>
  <c r="D10" i="16"/>
  <c r="D13" i="16"/>
  <c r="D14" i="16"/>
  <c r="D15" i="16"/>
  <c r="D20" i="16"/>
  <c r="D17" i="16"/>
  <c r="D7" i="16"/>
  <c r="D9" i="16"/>
  <c r="D19" i="16"/>
  <c r="G27" i="16"/>
  <c r="G15" i="16"/>
  <c r="G11" i="16"/>
  <c r="G7" i="16"/>
  <c r="G22" i="16"/>
  <c r="G17" i="16"/>
  <c r="G14" i="16"/>
  <c r="G25" i="16"/>
  <c r="G20" i="16"/>
  <c r="G13" i="16"/>
  <c r="G19" i="16"/>
  <c r="G10" i="16"/>
  <c r="G23" i="16"/>
  <c r="G12" i="16"/>
  <c r="G9" i="16"/>
  <c r="G26" i="16"/>
  <c r="B29" i="19"/>
  <c r="B30" i="19" s="1"/>
  <c r="B29" i="26" l="1"/>
  <c r="B31" i="26" s="1"/>
  <c r="B35" i="16" l="1"/>
  <c r="B28" i="31"/>
  <c r="B20" i="31" l="1"/>
  <c r="B15" i="31"/>
  <c r="B7" i="31"/>
  <c r="B21" i="31"/>
  <c r="B23" i="31"/>
  <c r="B27" i="31"/>
  <c r="B9" i="31"/>
  <c r="B16" i="31"/>
  <c r="B17" i="31"/>
  <c r="B24" i="31"/>
  <c r="B11" i="31"/>
  <c r="B25" i="31"/>
  <c r="B18" i="31"/>
  <c r="B13" i="31"/>
  <c r="B19" i="31"/>
  <c r="B10" i="31"/>
  <c r="B12" i="31"/>
  <c r="B26" i="31"/>
  <c r="B22" i="31"/>
  <c r="B14" i="31"/>
  <c r="H27" i="2"/>
  <c r="H10" i="1" s="1"/>
  <c r="H4" i="2" l="1"/>
  <c r="H21" i="2"/>
  <c r="H8" i="2"/>
  <c r="H16" i="2"/>
  <c r="H18" i="2"/>
  <c r="H10" i="2"/>
  <c r="H7" i="2"/>
  <c r="H11" i="2"/>
  <c r="H22" i="2"/>
  <c r="H24" i="2"/>
  <c r="H13" i="2"/>
  <c r="H6" i="2"/>
  <c r="H9" i="2"/>
  <c r="H20" i="2"/>
  <c r="H19" i="2"/>
  <c r="H12" i="2"/>
  <c r="H15" i="2"/>
  <c r="H17" i="2"/>
  <c r="H14" i="2"/>
  <c r="H23" i="2"/>
  <c r="G29" i="16"/>
  <c r="F29" i="16"/>
  <c r="E29" i="16"/>
  <c r="D29" i="16"/>
  <c r="C29" i="16"/>
  <c r="V27" i="2"/>
  <c r="H18" i="1" l="1"/>
  <c r="H19" i="1"/>
  <c r="H26" i="1"/>
  <c r="I22" i="29"/>
  <c r="I11" i="29"/>
  <c r="I8" i="29"/>
  <c r="I21" i="29"/>
  <c r="I17" i="29"/>
  <c r="I4" i="29"/>
  <c r="H25" i="2"/>
  <c r="H28" i="2" s="1"/>
  <c r="F10" i="1" s="1"/>
  <c r="I13" i="29"/>
  <c r="I18" i="29"/>
  <c r="I5" i="29"/>
  <c r="I10" i="29"/>
  <c r="I15" i="29"/>
  <c r="I16" i="29"/>
  <c r="I12" i="29"/>
  <c r="I7" i="29"/>
  <c r="I19" i="29"/>
  <c r="I14" i="29"/>
  <c r="I23" i="29"/>
  <c r="I9" i="29"/>
  <c r="I20" i="29"/>
  <c r="I6" i="29"/>
  <c r="V21" i="2"/>
  <c r="V13" i="2"/>
  <c r="B29" i="31"/>
  <c r="B30" i="31" s="1"/>
  <c r="V18" i="2"/>
  <c r="V15" i="2"/>
  <c r="G10" i="1" l="1"/>
  <c r="I10" i="1"/>
  <c r="I24" i="29"/>
  <c r="I31" i="29" s="1"/>
  <c r="B28" i="29" l="1"/>
  <c r="B29" i="29"/>
  <c r="C24" i="29" l="1"/>
  <c r="C31" i="29" s="1"/>
  <c r="U27" i="2" l="1"/>
  <c r="T5" i="2"/>
  <c r="T6" i="2"/>
  <c r="L5" i="29" s="1"/>
  <c r="T11" i="2"/>
  <c r="T13" i="2"/>
  <c r="L12" i="29" s="1"/>
  <c r="T14" i="2"/>
  <c r="T15" i="2"/>
  <c r="L14" i="29" s="1"/>
  <c r="T17" i="2"/>
  <c r="T18" i="2"/>
  <c r="T21" i="2"/>
  <c r="T27" i="2"/>
  <c r="R18" i="2"/>
  <c r="G5" i="2"/>
  <c r="G12" i="2"/>
  <c r="G13" i="2"/>
  <c r="G14" i="2"/>
  <c r="G15" i="2"/>
  <c r="G18" i="2"/>
  <c r="G21" i="2"/>
  <c r="G27" i="2"/>
  <c r="B15" i="28" l="1"/>
  <c r="B21" i="28"/>
  <c r="B11" i="28"/>
  <c r="B13" i="28"/>
  <c r="B14" i="28"/>
  <c r="B9" i="28"/>
  <c r="B16" i="28"/>
  <c r="B22" i="28"/>
  <c r="B12" i="28"/>
  <c r="B20" i="28"/>
  <c r="B27" i="28"/>
  <c r="B17" i="28"/>
  <c r="B10" i="28"/>
  <c r="B23" i="28"/>
  <c r="B26" i="28"/>
  <c r="B7" i="28"/>
  <c r="B25" i="28"/>
  <c r="B18" i="28"/>
  <c r="B24" i="28"/>
  <c r="B19" i="28"/>
  <c r="C29" i="28"/>
  <c r="C30" i="28" s="1"/>
  <c r="H11" i="1" l="1"/>
  <c r="B28" i="27" l="1"/>
  <c r="G6" i="2"/>
  <c r="G19" i="2"/>
  <c r="G7" i="2"/>
  <c r="G20" i="2"/>
  <c r="G24" i="2"/>
  <c r="G4" i="2"/>
  <c r="G17" i="2"/>
  <c r="G8" i="2"/>
  <c r="G22" i="2"/>
  <c r="G9" i="2"/>
  <c r="G23" i="2"/>
  <c r="G11" i="2"/>
  <c r="G16" i="2"/>
  <c r="G10" i="2"/>
  <c r="B20" i="27" l="1"/>
  <c r="B18" i="27"/>
  <c r="B13" i="27"/>
  <c r="B26" i="27"/>
  <c r="B25" i="27"/>
  <c r="B14" i="27"/>
  <c r="B11" i="27"/>
  <c r="B9" i="27"/>
  <c r="B17" i="27"/>
  <c r="B16" i="27"/>
  <c r="B22" i="27"/>
  <c r="B12" i="27"/>
  <c r="B7" i="27"/>
  <c r="B15" i="27"/>
  <c r="B10" i="27"/>
  <c r="B27" i="27"/>
  <c r="B24" i="27"/>
  <c r="B19" i="27"/>
  <c r="B23" i="27"/>
  <c r="E27" i="2"/>
  <c r="H8" i="1" s="1"/>
  <c r="G25" i="2"/>
  <c r="G28" i="2" l="1"/>
  <c r="L26" i="2"/>
  <c r="E4" i="2"/>
  <c r="E21" i="2"/>
  <c r="H20" i="29" s="1"/>
  <c r="E11" i="2"/>
  <c r="H10" i="29" s="1"/>
  <c r="E10" i="2"/>
  <c r="H9" i="29" s="1"/>
  <c r="E12" i="2"/>
  <c r="H11" i="29" s="1"/>
  <c r="E20" i="2"/>
  <c r="H19" i="29" s="1"/>
  <c r="E24" i="2"/>
  <c r="H23" i="29" s="1"/>
  <c r="E23" i="2"/>
  <c r="H22" i="29" s="1"/>
  <c r="E22" i="2"/>
  <c r="H21" i="29" s="1"/>
  <c r="E5" i="2"/>
  <c r="H27" i="29" s="1"/>
  <c r="E6" i="2"/>
  <c r="H5" i="29" s="1"/>
  <c r="E17" i="2"/>
  <c r="H16" i="29" s="1"/>
  <c r="E15" i="2"/>
  <c r="H14" i="29" s="1"/>
  <c r="E18" i="2"/>
  <c r="H17" i="29" s="1"/>
  <c r="E8" i="2"/>
  <c r="H7" i="29" s="1"/>
  <c r="E19" i="2"/>
  <c r="H18" i="29" s="1"/>
  <c r="E9" i="2"/>
  <c r="H8" i="29" s="1"/>
  <c r="E13" i="2"/>
  <c r="H12" i="29" s="1"/>
  <c r="E14" i="2"/>
  <c r="H13" i="29" s="1"/>
  <c r="E7" i="2"/>
  <c r="H6" i="29" s="1"/>
  <c r="E16" i="2"/>
  <c r="H15" i="29" s="1"/>
  <c r="B29" i="27"/>
  <c r="B30" i="27" l="1"/>
  <c r="C34" i="27"/>
  <c r="H4" i="29"/>
  <c r="H21" i="1"/>
  <c r="E25" i="2"/>
  <c r="E28" i="2" s="1"/>
  <c r="F8" i="1" s="1"/>
  <c r="D29" i="10"/>
  <c r="H24" i="29" l="1"/>
  <c r="H31" i="29" s="1"/>
  <c r="B27" i="2"/>
  <c r="D28" i="9"/>
  <c r="B13" i="9"/>
  <c r="B20" i="9"/>
  <c r="B10" i="9"/>
  <c r="B17" i="9"/>
  <c r="B25" i="9"/>
  <c r="B19" i="9"/>
  <c r="B27" i="9"/>
  <c r="B23" i="9"/>
  <c r="B22" i="9"/>
  <c r="B26" i="9"/>
  <c r="B24" i="9"/>
  <c r="B9" i="9"/>
  <c r="B16" i="9"/>
  <c r="B11" i="9"/>
  <c r="B7" i="9"/>
  <c r="B12" i="9"/>
  <c r="B18" i="9"/>
  <c r="I8" i="1"/>
  <c r="G8" i="1"/>
  <c r="D10" i="9" l="1"/>
  <c r="B7" i="2"/>
  <c r="B6" i="2"/>
  <c r="D9" i="9"/>
  <c r="D20" i="9"/>
  <c r="B17" i="2"/>
  <c r="B13" i="2"/>
  <c r="D16" i="9"/>
  <c r="B15" i="2"/>
  <c r="D18" i="9"/>
  <c r="D13" i="9"/>
  <c r="B10" i="2"/>
  <c r="B22" i="2"/>
  <c r="D25" i="9"/>
  <c r="B23" i="2"/>
  <c r="D26" i="9"/>
  <c r="D12" i="9"/>
  <c r="B9" i="2"/>
  <c r="B20" i="2"/>
  <c r="D23" i="9"/>
  <c r="B21" i="2"/>
  <c r="D24" i="9"/>
  <c r="B4" i="2"/>
  <c r="D7" i="9"/>
  <c r="D27" i="9"/>
  <c r="B24" i="2"/>
  <c r="D17" i="9"/>
  <c r="B14" i="2"/>
  <c r="B19" i="2"/>
  <c r="D22" i="9"/>
  <c r="D11" i="9"/>
  <c r="B8" i="2"/>
  <c r="D19" i="9"/>
  <c r="B16" i="2"/>
  <c r="B15" i="10"/>
  <c r="B27" i="10"/>
  <c r="B19" i="10"/>
  <c r="B12" i="10"/>
  <c r="B24" i="10"/>
  <c r="B7" i="10"/>
  <c r="B18" i="10"/>
  <c r="B25" i="10"/>
  <c r="B26" i="10"/>
  <c r="B11" i="10"/>
  <c r="H6" i="1"/>
  <c r="B29" i="28"/>
  <c r="D30" i="28" s="1"/>
  <c r="Q27" i="2" l="1"/>
  <c r="D28" i="13"/>
  <c r="B25" i="22"/>
  <c r="B10" i="22"/>
  <c r="B15" i="22"/>
  <c r="B19" i="22"/>
  <c r="B13" i="22"/>
  <c r="B27" i="22"/>
  <c r="B20" i="22"/>
  <c r="B9" i="22"/>
  <c r="B11" i="22"/>
  <c r="B26" i="22"/>
  <c r="B22" i="22"/>
  <c r="B23" i="22"/>
  <c r="B17" i="22"/>
  <c r="B12" i="22"/>
  <c r="B10" i="13"/>
  <c r="B11" i="13"/>
  <c r="B7" i="13"/>
  <c r="B20" i="13"/>
  <c r="B23" i="13"/>
  <c r="B26" i="13"/>
  <c r="B27" i="13"/>
  <c r="B12" i="13"/>
  <c r="B13" i="13"/>
  <c r="B25" i="13"/>
  <c r="B22" i="13"/>
  <c r="B17" i="13"/>
  <c r="B19" i="13"/>
  <c r="B9" i="13"/>
  <c r="B29" i="9"/>
  <c r="Q24" i="2" l="1"/>
  <c r="D27" i="13"/>
  <c r="Q20" i="2"/>
  <c r="D23" i="13"/>
  <c r="Q23" i="2"/>
  <c r="D26" i="13"/>
  <c r="Q14" i="2"/>
  <c r="D17" i="13"/>
  <c r="Q17" i="2"/>
  <c r="D20" i="13"/>
  <c r="Q19" i="2"/>
  <c r="D22" i="13"/>
  <c r="Q4" i="2"/>
  <c r="D7" i="13"/>
  <c r="Q16" i="2"/>
  <c r="D19" i="13"/>
  <c r="Q22" i="2"/>
  <c r="D25" i="13"/>
  <c r="Q8" i="2"/>
  <c r="D11" i="13"/>
  <c r="Q9" i="2"/>
  <c r="D12" i="13"/>
  <c r="Q6" i="2"/>
  <c r="D9" i="13"/>
  <c r="Q10" i="2"/>
  <c r="D13" i="13"/>
  <c r="Q7" i="2"/>
  <c r="D10" i="13"/>
  <c r="B30" i="9"/>
  <c r="H25" i="1"/>
  <c r="M27" i="29"/>
  <c r="D25" i="2"/>
  <c r="D28" i="2" s="1"/>
  <c r="F11" i="1" s="1"/>
  <c r="B29" i="13"/>
  <c r="B30" i="13" s="1"/>
  <c r="I11" i="1" l="1"/>
  <c r="G11" i="1"/>
  <c r="H20" i="1"/>
  <c r="O25" i="2"/>
  <c r="O28" i="2" s="1"/>
  <c r="F21" i="1" s="1"/>
  <c r="B29" i="22"/>
  <c r="I21" i="1" l="1"/>
  <c r="G21" i="1"/>
  <c r="L27" i="29"/>
  <c r="J27" i="29" s="1"/>
  <c r="P25" i="2"/>
  <c r="P28" i="2" s="1"/>
  <c r="B9" i="15" l="1"/>
  <c r="B26" i="15"/>
  <c r="B20" i="15"/>
  <c r="B7" i="15"/>
  <c r="B10" i="15"/>
  <c r="B15" i="15"/>
  <c r="B22" i="15"/>
  <c r="B27" i="15"/>
  <c r="B11" i="15"/>
  <c r="B17" i="15"/>
  <c r="B23" i="15"/>
  <c r="B19" i="15"/>
  <c r="B25" i="15"/>
  <c r="B13" i="15"/>
  <c r="B12" i="15"/>
  <c r="I22" i="1"/>
  <c r="R27" i="2"/>
  <c r="N25" i="2"/>
  <c r="N28" i="2" s="1"/>
  <c r="F20" i="1" s="1"/>
  <c r="R15" i="2"/>
  <c r="R5" i="2"/>
  <c r="R11" i="2"/>
  <c r="R21" i="2"/>
  <c r="R13" i="2"/>
  <c r="H23" i="1"/>
  <c r="T19" i="2"/>
  <c r="T24" i="2"/>
  <c r="T23" i="2"/>
  <c r="T8" i="2"/>
  <c r="L7" i="29" s="1"/>
  <c r="T12" i="2"/>
  <c r="L11" i="29" s="1"/>
  <c r="T10" i="2"/>
  <c r="L9" i="29" s="1"/>
  <c r="T16" i="2"/>
  <c r="L15" i="29" s="1"/>
  <c r="T9" i="2"/>
  <c r="T7" i="2"/>
  <c r="L6" i="29" s="1"/>
  <c r="T22" i="2"/>
  <c r="T20" i="2"/>
  <c r="G20" i="1" l="1"/>
  <c r="I20" i="1"/>
  <c r="H24" i="1"/>
  <c r="X27" i="2"/>
  <c r="H28" i="1"/>
  <c r="R16" i="2"/>
  <c r="R6" i="2"/>
  <c r="R12" i="2"/>
  <c r="R20" i="2"/>
  <c r="R19" i="2"/>
  <c r="R8" i="2"/>
  <c r="R23" i="2"/>
  <c r="R22" i="2"/>
  <c r="R17" i="2"/>
  <c r="R7" i="2"/>
  <c r="R24" i="2"/>
  <c r="R14" i="2"/>
  <c r="R10" i="2"/>
  <c r="R9" i="2"/>
  <c r="L19" i="29"/>
  <c r="L10" i="29"/>
  <c r="L22" i="29"/>
  <c r="L17" i="29"/>
  <c r="L8" i="29"/>
  <c r="L21" i="29"/>
  <c r="L13" i="29"/>
  <c r="L18" i="29"/>
  <c r="L23" i="29"/>
  <c r="L20" i="29"/>
  <c r="T4" i="2"/>
  <c r="B32" i="26"/>
  <c r="B29" i="20"/>
  <c r="B17" i="16"/>
  <c r="B18" i="16"/>
  <c r="B15" i="16"/>
  <c r="B16" i="16"/>
  <c r="U5" i="2"/>
  <c r="B9" i="16"/>
  <c r="B10" i="16"/>
  <c r="B21" i="16"/>
  <c r="B23" i="16"/>
  <c r="B24" i="16"/>
  <c r="B25" i="16"/>
  <c r="L16" i="29" l="1"/>
  <c r="U18" i="2"/>
  <c r="X18" i="2" s="1"/>
  <c r="U15" i="2"/>
  <c r="U21" i="2"/>
  <c r="X21" i="2" s="1"/>
  <c r="U13" i="2"/>
  <c r="X13" i="2" s="1"/>
  <c r="S25" i="2"/>
  <c r="S28" i="2" s="1"/>
  <c r="F23" i="1" s="1"/>
  <c r="U22" i="2"/>
  <c r="U20" i="2"/>
  <c r="U12" i="2"/>
  <c r="U7" i="2"/>
  <c r="U14" i="2"/>
  <c r="M13" i="29" s="1"/>
  <c r="J13" i="29" s="1"/>
  <c r="U6" i="2"/>
  <c r="M5" i="29" s="1"/>
  <c r="J5" i="29" s="1"/>
  <c r="T25" i="2"/>
  <c r="T28" i="2" s="1"/>
  <c r="F18" i="1" s="1"/>
  <c r="L4" i="29"/>
  <c r="G30" i="16"/>
  <c r="B13" i="16"/>
  <c r="B14" i="16"/>
  <c r="B7" i="16"/>
  <c r="G18" i="1" l="1"/>
  <c r="I18" i="1"/>
  <c r="G23" i="1"/>
  <c r="I23" i="1"/>
  <c r="M14" i="29"/>
  <c r="J14" i="29" s="1"/>
  <c r="X15" i="2"/>
  <c r="M11" i="29"/>
  <c r="J11" i="29" s="1"/>
  <c r="M12" i="29"/>
  <c r="J12" i="29" s="1"/>
  <c r="L24" i="29"/>
  <c r="L31" i="29" s="1"/>
  <c r="U4" i="2"/>
  <c r="U11" i="2"/>
  <c r="U10" i="2"/>
  <c r="M6" i="29" s="1"/>
  <c r="J6" i="29" s="1"/>
  <c r="E30" i="16"/>
  <c r="B12" i="16"/>
  <c r="F30" i="16"/>
  <c r="B11" i="16"/>
  <c r="B22" i="16"/>
  <c r="B20" i="16"/>
  <c r="B26" i="16"/>
  <c r="D30" i="16"/>
  <c r="B19" i="16"/>
  <c r="B27" i="16"/>
  <c r="C30" i="16"/>
  <c r="M10" i="29" l="1"/>
  <c r="J10" i="29" s="1"/>
  <c r="M4" i="29"/>
  <c r="J4" i="29" s="1"/>
  <c r="M9" i="29"/>
  <c r="J9" i="29" s="1"/>
  <c r="U16" i="2"/>
  <c r="M19" i="29" s="1"/>
  <c r="J19" i="29" s="1"/>
  <c r="U9" i="2"/>
  <c r="M21" i="29" s="1"/>
  <c r="J21" i="29" s="1"/>
  <c r="U23" i="2"/>
  <c r="M17" i="29" s="1"/>
  <c r="J17" i="29" s="1"/>
  <c r="U17" i="2"/>
  <c r="M16" i="29" s="1"/>
  <c r="J16" i="29" s="1"/>
  <c r="U19" i="2"/>
  <c r="M18" i="29" s="1"/>
  <c r="J18" i="29" s="1"/>
  <c r="U24" i="2"/>
  <c r="U8" i="2"/>
  <c r="B29" i="16"/>
  <c r="B30" i="16" s="1"/>
  <c r="C26" i="18"/>
  <c r="D26" i="18"/>
  <c r="M20" i="29" l="1"/>
  <c r="J20" i="29" s="1"/>
  <c r="M8" i="29"/>
  <c r="J8" i="29" s="1"/>
  <c r="M23" i="29"/>
  <c r="J23" i="29" s="1"/>
  <c r="U25" i="2"/>
  <c r="U28" i="2" s="1"/>
  <c r="F26" i="1" s="1"/>
  <c r="M15" i="29"/>
  <c r="J15" i="29" s="1"/>
  <c r="M7" i="29"/>
  <c r="J7" i="29" s="1"/>
  <c r="M22" i="29"/>
  <c r="J22" i="29" s="1"/>
  <c r="B26" i="18"/>
  <c r="G26" i="1" l="1"/>
  <c r="I26" i="1"/>
  <c r="M24" i="29"/>
  <c r="M31" i="29" s="1"/>
  <c r="J24" i="29"/>
  <c r="J31" i="29" s="1"/>
  <c r="B30" i="20" l="1"/>
  <c r="H39" i="7" l="1"/>
  <c r="H40" i="7"/>
  <c r="G40" i="7"/>
  <c r="F40" i="7"/>
  <c r="D39" i="7"/>
  <c r="D40" i="7" s="1"/>
  <c r="C39" i="7"/>
  <c r="C40" i="7" s="1"/>
  <c r="B39" i="7"/>
  <c r="B40" i="7" s="1"/>
  <c r="H35" i="7"/>
  <c r="C30" i="7"/>
  <c r="C35" i="7" s="1"/>
  <c r="H34" i="7"/>
  <c r="C34" i="7"/>
  <c r="D34" i="7" s="1"/>
  <c r="H33" i="7"/>
  <c r="C33" i="7"/>
  <c r="D33" i="7" s="1"/>
  <c r="B33" i="7"/>
  <c r="H32" i="7"/>
  <c r="C32" i="7"/>
  <c r="D32" i="7" s="1"/>
  <c r="B32" i="7"/>
  <c r="H31" i="7"/>
  <c r="C31" i="7"/>
  <c r="D31" i="7" s="1"/>
  <c r="H30" i="7"/>
  <c r="B30" i="7"/>
  <c r="H26" i="7"/>
  <c r="G26" i="7"/>
  <c r="F26" i="7"/>
  <c r="D26" i="7"/>
  <c r="C23" i="7"/>
  <c r="C26" i="7" s="1"/>
  <c r="B23" i="7"/>
  <c r="B26" i="7" s="1"/>
  <c r="C25" i="7"/>
  <c r="B25" i="7"/>
  <c r="C24" i="7"/>
  <c r="B24" i="7"/>
  <c r="H19" i="7"/>
  <c r="G19" i="7"/>
  <c r="F5" i="7" s="1"/>
  <c r="G5" i="7" s="1"/>
  <c r="F19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D19" i="7" s="1"/>
  <c r="C9" i="7"/>
  <c r="C19" i="7" s="1"/>
  <c r="B9" i="7"/>
  <c r="B19" i="7" s="1"/>
  <c r="B31" i="7"/>
  <c r="B5" i="7" l="1"/>
  <c r="C5" i="7" s="1"/>
  <c r="D30" i="7"/>
  <c r="D35" i="7" s="1"/>
  <c r="C29" i="13"/>
  <c r="C33" i="13" s="1"/>
  <c r="C30" i="13" l="1"/>
  <c r="D30" i="13" s="1"/>
  <c r="D29" i="13"/>
  <c r="C29" i="9"/>
  <c r="C30" i="9" l="1"/>
  <c r="D30" i="9" s="1"/>
  <c r="D29" i="9"/>
  <c r="B25" i="2" l="1"/>
  <c r="B28" i="2" s="1"/>
  <c r="Q25" i="2"/>
  <c r="Q28" i="2" s="1"/>
  <c r="F25" i="1" s="1"/>
  <c r="F6" i="1" l="1"/>
  <c r="G25" i="1"/>
  <c r="I25" i="1"/>
  <c r="I6" i="1" l="1"/>
  <c r="G6" i="1"/>
  <c r="B29" i="15"/>
  <c r="R4" i="2"/>
  <c r="B30" i="15" l="1"/>
  <c r="C33" i="15"/>
  <c r="R25" i="2"/>
  <c r="R28" i="2" s="1"/>
  <c r="F24" i="1" s="1"/>
  <c r="G24" i="1" l="1"/>
  <c r="I24" i="1"/>
  <c r="H7" i="1" l="1"/>
  <c r="B29" i="10"/>
  <c r="C25" i="2" l="1"/>
  <c r="C28" i="2" s="1"/>
  <c r="F7" i="1" l="1"/>
  <c r="G7" i="1"/>
  <c r="I7" i="1"/>
  <c r="L14" i="2"/>
  <c r="L17" i="2"/>
  <c r="L11" i="2"/>
  <c r="L21" i="2"/>
  <c r="L16" i="2"/>
  <c r="L20" i="2"/>
  <c r="L15" i="2"/>
  <c r="L24" i="2"/>
  <c r="L13" i="2"/>
  <c r="L10" i="2"/>
  <c r="L23" i="2"/>
  <c r="L7" i="2"/>
  <c r="L18" i="2"/>
  <c r="L9" i="2"/>
  <c r="L22" i="2"/>
  <c r="L19" i="2"/>
  <c r="L12" i="2"/>
  <c r="L6" i="2"/>
  <c r="L27" i="2"/>
  <c r="L5" i="2"/>
  <c r="L8" i="2"/>
  <c r="AA15" i="2" l="1"/>
  <c r="AA21" i="2"/>
  <c r="AA18" i="2"/>
  <c r="AA13" i="2"/>
  <c r="AJ13" i="2" s="1"/>
  <c r="E10" i="29"/>
  <c r="E14" i="29"/>
  <c r="E23" i="29"/>
  <c r="E17" i="29"/>
  <c r="E18" i="29"/>
  <c r="E7" i="29"/>
  <c r="E11" i="29"/>
  <c r="E13" i="29"/>
  <c r="E9" i="29"/>
  <c r="E21" i="29"/>
  <c r="E20" i="29"/>
  <c r="E27" i="29"/>
  <c r="E12" i="29"/>
  <c r="E22" i="29"/>
  <c r="E8" i="29"/>
  <c r="E5" i="29"/>
  <c r="E19" i="29"/>
  <c r="E6" i="29"/>
  <c r="E15" i="29"/>
  <c r="AB15" i="2" l="1"/>
  <c r="AG15" i="2"/>
  <c r="AH15" i="2"/>
  <c r="AB21" i="2"/>
  <c r="AG21" i="2"/>
  <c r="AH21" i="2"/>
  <c r="AJ15" i="2"/>
  <c r="AB18" i="2"/>
  <c r="AH18" i="2"/>
  <c r="AG18" i="2"/>
  <c r="AJ21" i="2"/>
  <c r="AJ18" i="2"/>
  <c r="AB13" i="2"/>
  <c r="AH13" i="2"/>
  <c r="AG13" i="2"/>
  <c r="L4" i="2"/>
  <c r="E16" i="29"/>
  <c r="D16" i="29" s="1"/>
  <c r="B16" i="29" s="1"/>
  <c r="D22" i="29"/>
  <c r="B22" i="29" s="1"/>
  <c r="D20" i="29"/>
  <c r="B20" i="29" s="1"/>
  <c r="D12" i="29"/>
  <c r="B12" i="29" s="1"/>
  <c r="D21" i="29"/>
  <c r="B21" i="29" s="1"/>
  <c r="D11" i="29"/>
  <c r="B11" i="29" s="1"/>
  <c r="D18" i="29"/>
  <c r="B18" i="29" s="1"/>
  <c r="D27" i="29"/>
  <c r="B27" i="29" s="1"/>
  <c r="D6" i="29"/>
  <c r="B6" i="29" s="1"/>
  <c r="D10" i="29"/>
  <c r="B10" i="29" s="1"/>
  <c r="D7" i="29"/>
  <c r="B7" i="29" s="1"/>
  <c r="D15" i="29"/>
  <c r="B15" i="29" s="1"/>
  <c r="D17" i="29"/>
  <c r="B17" i="29" s="1"/>
  <c r="D23" i="29"/>
  <c r="B23" i="29" s="1"/>
  <c r="D19" i="29"/>
  <c r="B19" i="29" s="1"/>
  <c r="D14" i="29"/>
  <c r="B14" i="29" s="1"/>
  <c r="D5" i="29"/>
  <c r="B5" i="29" s="1"/>
  <c r="D9" i="29"/>
  <c r="B9" i="29" s="1"/>
  <c r="D8" i="29"/>
  <c r="B8" i="29" s="1"/>
  <c r="D13" i="29"/>
  <c r="B13" i="29" s="1"/>
  <c r="F25" i="2"/>
  <c r="F28" i="2" s="1"/>
  <c r="L28" i="2" s="1"/>
  <c r="E4" i="29"/>
  <c r="L25" i="2" l="1"/>
  <c r="H14" i="1"/>
  <c r="H37" i="1" l="1"/>
  <c r="H38" i="1" s="1"/>
  <c r="I14" i="1"/>
  <c r="F14" i="1"/>
  <c r="E24" i="29"/>
  <c r="E31" i="29" s="1"/>
  <c r="D4" i="29"/>
  <c r="B4" i="29" s="1"/>
  <c r="B24" i="29" l="1"/>
  <c r="G14" i="1"/>
  <c r="D24" i="29"/>
  <c r="D31" i="29" s="1"/>
  <c r="V10" i="2"/>
  <c r="X10" i="2" s="1"/>
  <c r="V17" i="2"/>
  <c r="X17" i="2" s="1"/>
  <c r="V9" i="2"/>
  <c r="X9" i="2" s="1"/>
  <c r="V24" i="2"/>
  <c r="X24" i="2" s="1"/>
  <c r="V16" i="2"/>
  <c r="X16" i="2" s="1"/>
  <c r="V8" i="2"/>
  <c r="X8" i="2" s="1"/>
  <c r="V23" i="2"/>
  <c r="X23" i="2" s="1"/>
  <c r="V7" i="2"/>
  <c r="X7" i="2" s="1"/>
  <c r="V22" i="2"/>
  <c r="X22" i="2" s="1"/>
  <c r="V14" i="2"/>
  <c r="X14" i="2" s="1"/>
  <c r="V6" i="2"/>
  <c r="X6" i="2" s="1"/>
  <c r="V5" i="2"/>
  <c r="X5" i="2" s="1"/>
  <c r="V20" i="2"/>
  <c r="X20" i="2" s="1"/>
  <c r="V12" i="2"/>
  <c r="X12" i="2" s="1"/>
  <c r="V19" i="2"/>
  <c r="X19" i="2" s="1"/>
  <c r="V11" i="2"/>
  <c r="X11" i="2" s="1"/>
  <c r="B31" i="29" l="1"/>
  <c r="AA9" i="2"/>
  <c r="AJ9" i="2" s="1"/>
  <c r="AA14" i="2"/>
  <c r="AA11" i="2"/>
  <c r="AA23" i="2"/>
  <c r="AJ23" i="2" s="1"/>
  <c r="AA17" i="2"/>
  <c r="AJ17" i="2" s="1"/>
  <c r="AA7" i="2"/>
  <c r="AJ7" i="2" s="1"/>
  <c r="AA8" i="2"/>
  <c r="AA6" i="2"/>
  <c r="AA22" i="2"/>
  <c r="AA19" i="2"/>
  <c r="AA16" i="2"/>
  <c r="AJ16" i="2" s="1"/>
  <c r="AA10" i="2"/>
  <c r="AA12" i="2"/>
  <c r="AA20" i="2"/>
  <c r="AJ20" i="2" s="1"/>
  <c r="AA5" i="2"/>
  <c r="AA24" i="2"/>
  <c r="V4" i="2"/>
  <c r="X4" i="2" l="1"/>
  <c r="X25" i="2" s="1"/>
  <c r="X28" i="2" s="1"/>
  <c r="AB5" i="2"/>
  <c r="AH5" i="2"/>
  <c r="AJ5" i="2"/>
  <c r="AB11" i="2"/>
  <c r="AH11" i="2"/>
  <c r="AG11" i="2"/>
  <c r="AJ11" i="2"/>
  <c r="AB22" i="2"/>
  <c r="AG22" i="2"/>
  <c r="AH22" i="2"/>
  <c r="AB19" i="2"/>
  <c r="AG19" i="2"/>
  <c r="AH19" i="2"/>
  <c r="AB14" i="2"/>
  <c r="AH14" i="2"/>
  <c r="AG14" i="2"/>
  <c r="AB9" i="2"/>
  <c r="AG9" i="2"/>
  <c r="AH9" i="2"/>
  <c r="AB8" i="2"/>
  <c r="AH8" i="2"/>
  <c r="AG8" i="2"/>
  <c r="AB7" i="2"/>
  <c r="AH7" i="2"/>
  <c r="AG7" i="2"/>
  <c r="AJ14" i="2"/>
  <c r="AB24" i="2"/>
  <c r="AH24" i="2"/>
  <c r="AG24" i="2"/>
  <c r="AB6" i="2"/>
  <c r="AH6" i="2"/>
  <c r="AG6" i="2"/>
  <c r="AJ22" i="2"/>
  <c r="AB20" i="2"/>
  <c r="AG20" i="2"/>
  <c r="AH20" i="2"/>
  <c r="AB12" i="2"/>
  <c r="AG12" i="2"/>
  <c r="AH12" i="2"/>
  <c r="AB17" i="2"/>
  <c r="AH17" i="2"/>
  <c r="AG17" i="2"/>
  <c r="AJ24" i="2"/>
  <c r="AJ6" i="2"/>
  <c r="AB10" i="2"/>
  <c r="AG10" i="2"/>
  <c r="AH10" i="2"/>
  <c r="AB23" i="2"/>
  <c r="AG23" i="2"/>
  <c r="AH23" i="2"/>
  <c r="AJ12" i="2"/>
  <c r="AJ19" i="2"/>
  <c r="AB16" i="2"/>
  <c r="AH16" i="2"/>
  <c r="AG16" i="2"/>
  <c r="AJ10" i="2"/>
  <c r="AJ8" i="2"/>
  <c r="F19" i="1"/>
  <c r="V25" i="2"/>
  <c r="V28" i="2" s="1"/>
  <c r="AA4" i="2" l="1"/>
  <c r="AH4" i="2" s="1"/>
  <c r="G19" i="1"/>
  <c r="I19" i="1"/>
  <c r="I28" i="1" s="1"/>
  <c r="I37" i="1" s="1"/>
  <c r="I38" i="1" s="1"/>
  <c r="F28" i="1"/>
  <c r="AA25" i="2"/>
  <c r="AD25" i="2"/>
  <c r="AB4" i="2" l="1"/>
  <c r="AJ4" i="2"/>
  <c r="AG4" i="2"/>
  <c r="F37" i="1"/>
  <c r="F38" i="1" s="1"/>
  <c r="G28" i="1"/>
  <c r="AB25" i="2"/>
  <c r="AH25" i="2"/>
  <c r="AG25" i="2"/>
  <c r="AJ25" i="2"/>
  <c r="B29" i="37"/>
  <c r="B30" i="37" s="1"/>
  <c r="AD28" i="2"/>
  <c r="G37" i="1" l="1"/>
  <c r="G38" i="1" s="1"/>
  <c r="AA27" i="2"/>
  <c r="AJ27" i="2" s="1"/>
  <c r="AA28" i="2" l="1"/>
  <c r="AG28" i="2" s="1"/>
  <c r="AG27" i="2"/>
  <c r="AB27" i="2"/>
  <c r="AH27" i="2"/>
  <c r="AB28" i="2" l="1"/>
  <c r="AH28" i="2"/>
  <c r="AJ28" i="2"/>
  <c r="AB26" i="2"/>
  <c r="AJ26" i="2"/>
  <c r="X26" i="2"/>
</calcChain>
</file>

<file path=xl/sharedStrings.xml><?xml version="1.0" encoding="utf-8"?>
<sst xmlns="http://schemas.openxmlformats.org/spreadsheetml/2006/main" count="1122" uniqueCount="338">
  <si>
    <t>DISTRI VINS TRANQUILLES FRANCE Y COMPRIS PROXI</t>
  </si>
  <si>
    <t>DISTRI VINS EFFERVESCENTS FRANCE Y COMPRIS PROXI</t>
  </si>
  <si>
    <t>PANEL SUIVI DES ACHATS EN CHR</t>
  </si>
  <si>
    <t>CONSO VINS TRANQUILLES ET EFFERVESCENTS France</t>
  </si>
  <si>
    <t>1/ SOUS TOTAL MARCHE Français</t>
  </si>
  <si>
    <t>MULTI PAYS  : WINE INTELLIGENCE</t>
  </si>
  <si>
    <t>ALL : PANEL SUIVI DES VENTES EN GD VT VE</t>
  </si>
  <si>
    <t>BE : SUIVI CONSO VT VE</t>
  </si>
  <si>
    <t>PAYS-BAS : SUIVI VENTES EN GD VT</t>
  </si>
  <si>
    <t>Annuel</t>
  </si>
  <si>
    <t>MONOPOLES : ACHAT DE DONNEES</t>
  </si>
  <si>
    <t>RO CHR</t>
  </si>
  <si>
    <t>RO Cavistes</t>
  </si>
  <si>
    <t>GTI</t>
  </si>
  <si>
    <t>Monopoles</t>
  </si>
  <si>
    <t>ALSACE</t>
  </si>
  <si>
    <t>BEAUJOLAIS</t>
  </si>
  <si>
    <t>BERGERAC-DURAS</t>
  </si>
  <si>
    <t>BORDEAUX</t>
  </si>
  <si>
    <t>BOURGOGNE</t>
  </si>
  <si>
    <t>CAHORS</t>
  </si>
  <si>
    <t>CENTRE</t>
  </si>
  <si>
    <t>CHAMPAGNE</t>
  </si>
  <si>
    <t>COGNAC</t>
  </si>
  <si>
    <t>CORSE</t>
  </si>
  <si>
    <t>IGP SUD EST</t>
  </si>
  <si>
    <t>JURA</t>
  </si>
  <si>
    <t>LANGUEDOC</t>
  </si>
  <si>
    <t>PAYS D'OC</t>
  </si>
  <si>
    <t>PINEAU DES CHARENTES</t>
  </si>
  <si>
    <t>PROVENCE</t>
  </si>
  <si>
    <t>ROUSSILLON</t>
  </si>
  <si>
    <t>SAVOIE</t>
  </si>
  <si>
    <t>SUD OUEST</t>
  </si>
  <si>
    <t>VAL DE LOIRE</t>
  </si>
  <si>
    <t>VALLEE DU RHONE</t>
  </si>
  <si>
    <t>SOUS TOTAL INTERPROFESSIONS</t>
  </si>
  <si>
    <t xml:space="preserve">ANIVIN DE FRANCE      </t>
  </si>
  <si>
    <t>ARMAGNAC</t>
  </si>
  <si>
    <t>TOTAL</t>
  </si>
  <si>
    <t>INTERPROFESSIONS</t>
  </si>
  <si>
    <t>MARCHE France</t>
  </si>
  <si>
    <t>MARCHES EXPORT</t>
  </si>
  <si>
    <t>RO e-commerce</t>
  </si>
  <si>
    <t>TOTAL MARCHE France</t>
  </si>
  <si>
    <t>IRI UK VT</t>
  </si>
  <si>
    <t>MONOPOLES</t>
  </si>
  <si>
    <t>WINE INTELLIGENCE</t>
  </si>
  <si>
    <t>TOTAL MARCHES Export</t>
  </si>
  <si>
    <t>ALSACE (CIVA)</t>
  </si>
  <si>
    <t>ANIVIN</t>
  </si>
  <si>
    <t>BEAUJOLAIS (INTERBEAUJOLAIS)</t>
  </si>
  <si>
    <t>BERGERAC-DURAS (IVBD)</t>
  </si>
  <si>
    <t>BORDEAUX (CIVB)</t>
  </si>
  <si>
    <t>BOURGOGNE (BIVB)</t>
  </si>
  <si>
    <t>CAHORS (UIVC)</t>
  </si>
  <si>
    <t>CENTRE (BIVC)</t>
  </si>
  <si>
    <t>CHAMPAGNE (CIVC)</t>
  </si>
  <si>
    <t>CORSE (CIVCORSE)</t>
  </si>
  <si>
    <t>IGP SUD EST (IVSE)</t>
  </si>
  <si>
    <t>JURA (CIVJ)</t>
  </si>
  <si>
    <t>LANGUEDOC (CIVL)</t>
  </si>
  <si>
    <t>PAYS D'OC (INTEROC)</t>
  </si>
  <si>
    <t>PINEAU DES CHARENTES (CNPC)</t>
  </si>
  <si>
    <t>PROVENCE (CIVP)</t>
  </si>
  <si>
    <t>ROUSSILLON (CIVR)</t>
  </si>
  <si>
    <t>SAVOIE (CIVS)</t>
  </si>
  <si>
    <t>SUD OUEST (IVSO)</t>
  </si>
  <si>
    <t>VAL DE LOIRE (INTERLOIRE)</t>
  </si>
  <si>
    <t>VALLEE DU RHONE (INTERRHONE)</t>
  </si>
  <si>
    <t>MONTANT OUTIL IP SEULES</t>
  </si>
  <si>
    <t xml:space="preserve">FRANCEAGRIMER </t>
  </si>
  <si>
    <t>MONTANT TOTAL OUTIL</t>
  </si>
  <si>
    <t>ONTARIO</t>
  </si>
  <si>
    <t>QUEBEC</t>
  </si>
  <si>
    <t>SUEDE</t>
  </si>
  <si>
    <t>NORVEGE</t>
  </si>
  <si>
    <t>HT</t>
  </si>
  <si>
    <t>TTC</t>
  </si>
  <si>
    <t>DISTRI VINS TRANQUILLES ET EFFERVESCENTS Allemagne</t>
  </si>
  <si>
    <t>FranceAgriMer</t>
  </si>
  <si>
    <t>* TVA à 20%</t>
  </si>
  <si>
    <t>Dernière mise à jour :</t>
  </si>
  <si>
    <t>BUDGET HORS SOUCRIPTIONS INDIVIDUELLES SPECIFIQUES SUR LES PANELS</t>
  </si>
  <si>
    <t>CNIV*</t>
  </si>
  <si>
    <t>TTC 20 %</t>
  </si>
  <si>
    <t>TTC 19,6%</t>
  </si>
  <si>
    <t>* hors études mutualisées comités</t>
  </si>
  <si>
    <t>MONTANT 2014 EN € HT</t>
  </si>
  <si>
    <t>MONTANT 2013 EN € HT</t>
  </si>
  <si>
    <t>PANELS</t>
  </si>
  <si>
    <t>CNIV</t>
  </si>
  <si>
    <t>DISTRI VINS TRANQUILLES FR</t>
  </si>
  <si>
    <t>DISTRI VINS EFFE FR</t>
  </si>
  <si>
    <t>DISTRI VINS TRANQUILLES ET EFFERVESCENTS UK</t>
  </si>
  <si>
    <t>DISTRI VINS TRANQUILLES PB</t>
  </si>
  <si>
    <t>CONSO VINS TRANQUILLES ET EFFE FR</t>
  </si>
  <si>
    <t>CONSO VINS TRANQUILLES ET EFFE BE</t>
  </si>
  <si>
    <t>CONSO VINS TRANQUILLES ET EFFERVESCENTS Danemark</t>
  </si>
  <si>
    <t>CONSO VINS TRANQUILLES ET EFFERVESCENTS Allemagne</t>
  </si>
  <si>
    <t>DISTRI VINS EFFERVESCENTS TRANQUILLES SUISSE</t>
  </si>
  <si>
    <t>Montant FranceAgriMer inclus 50 % subvention UE</t>
  </si>
  <si>
    <t>SOUS TOTAL PANELS</t>
  </si>
  <si>
    <t>ETUDES MUTUALISEES CNIV</t>
  </si>
  <si>
    <t>ETUDE RESTAURATION USA</t>
  </si>
  <si>
    <r>
      <t>30 000,00€</t>
    </r>
    <r>
      <rPr>
        <sz val="11"/>
        <color rgb="FFFF0000"/>
        <rFont val="Calibri"/>
        <family val="2"/>
        <charset val="1"/>
      </rPr>
      <t>**</t>
    </r>
  </si>
  <si>
    <t>30 000,00€**</t>
  </si>
  <si>
    <t>ETUDE RESTAURATION France</t>
  </si>
  <si>
    <t>SOUS TOTAL ETUDES MUTUALISEES</t>
  </si>
  <si>
    <t>MONTANT 2014</t>
  </si>
  <si>
    <t>MONTANT 2013</t>
  </si>
  <si>
    <t>DEVISES</t>
  </si>
  <si>
    <t>€ HT</t>
  </si>
  <si>
    <t>€ TTC</t>
  </si>
  <si>
    <t>MONOPOLE ONTARIO</t>
  </si>
  <si>
    <t>MONOPOLE QUEBEC</t>
  </si>
  <si>
    <t>MONOPOLE CB</t>
  </si>
  <si>
    <t>MONOPOLE SUEDE</t>
  </si>
  <si>
    <t>MONOPOLE NORVEGE</t>
  </si>
  <si>
    <t>SOUS TOTAL MONOPOLES</t>
  </si>
  <si>
    <t>** Subvention touchée et reversée à postériori</t>
  </si>
  <si>
    <t>MONTANT 20143EN € HT</t>
  </si>
  <si>
    <t>ETUDES MUTUALISEES COMITES</t>
  </si>
  <si>
    <t>EUROMONITOR</t>
  </si>
  <si>
    <t>SOUS TOTAL ETUDES MUTUALISEES COMITES</t>
  </si>
  <si>
    <t>IRI France VT</t>
  </si>
  <si>
    <t>Répartition</t>
  </si>
  <si>
    <t>Options individuelles</t>
  </si>
  <si>
    <t xml:space="preserve">VAL DE LOIRE </t>
  </si>
  <si>
    <t>FRANCEAGRIMER</t>
  </si>
  <si>
    <t>MONTANT TOTAL OUTIL IP SEULES</t>
  </si>
  <si>
    <t xml:space="preserve">Options individuelles </t>
  </si>
  <si>
    <t>IRI France Veff</t>
  </si>
  <si>
    <t>Kantar</t>
  </si>
  <si>
    <t>Panel CHR (GIRA) et relevés d'offres CHR (Participation FranceAgrimer 50%)</t>
  </si>
  <si>
    <t>PANEL CHR</t>
  </si>
  <si>
    <t>Panel CHR (GIRA)</t>
  </si>
  <si>
    <t xml:space="preserve">Relevés d'offres CHR </t>
  </si>
  <si>
    <t>Relevés d'offres e-commerce (Participation 50% FranceAgrimer)</t>
  </si>
  <si>
    <t>Relevés d'offres Cavistes (Pas de participation FranceAgrimer)</t>
  </si>
  <si>
    <t>IRI All VT &amp; Veff</t>
  </si>
  <si>
    <t>IRI All VT</t>
  </si>
  <si>
    <t xml:space="preserve">Prix initial 2022 HT </t>
  </si>
  <si>
    <t xml:space="preserve">Prix initial 2022 TTC </t>
  </si>
  <si>
    <t>IRI Pays-Bas VT</t>
  </si>
  <si>
    <t>GFK Belgique VT &amp; Veff</t>
  </si>
  <si>
    <t>GfK Belgique</t>
  </si>
  <si>
    <t>GfK Allemagne</t>
  </si>
  <si>
    <t>Données douanes GTI / GTA (pas de participation de FranceAgriMer)</t>
  </si>
  <si>
    <t>Données monopoles (pas de participation de FranceAgriMer)</t>
  </si>
  <si>
    <t>COLOMBIE BRITANNIQUE</t>
  </si>
  <si>
    <t>MONTANT TOTAL OUTILIP seules</t>
  </si>
  <si>
    <t>Prix HT études monopoles 2022</t>
  </si>
  <si>
    <t>Wine Intelligence Multipays (pas de participation de FranceAgriMer)</t>
  </si>
  <si>
    <t>Wine Intelligence</t>
  </si>
  <si>
    <t xml:space="preserve">GRILLE sans les spi </t>
  </si>
  <si>
    <t>Interprofession/Unité</t>
  </si>
  <si>
    <t>TOTAL SOUSCRIPTEURS / ETUDES</t>
  </si>
  <si>
    <t>Monopoler Québec</t>
  </si>
  <si>
    <t>Monopole Colombie Britannique</t>
  </si>
  <si>
    <t>Monopole Ontario</t>
  </si>
  <si>
    <t>Monopole Suède</t>
  </si>
  <si>
    <t>Monopole Norvège</t>
  </si>
  <si>
    <t xml:space="preserve">IRI Pays-Bas </t>
  </si>
  <si>
    <t>IRI All</t>
  </si>
  <si>
    <t>IRI UK Eff</t>
  </si>
  <si>
    <t>Panel CHR France</t>
  </si>
  <si>
    <t>RO CHR France</t>
  </si>
  <si>
    <t>IRI FR VEff</t>
  </si>
  <si>
    <t>IRI FR VT</t>
  </si>
  <si>
    <t>année 1</t>
  </si>
  <si>
    <t>année 2</t>
  </si>
  <si>
    <t>année 3</t>
  </si>
  <si>
    <t>année 1(2022)</t>
  </si>
  <si>
    <t>E-COMMERCE RELEVES D'OFFRES</t>
  </si>
  <si>
    <t>Première année du contrat (2022- 2025)</t>
  </si>
  <si>
    <t xml:space="preserve">UK : PANEL SUIVI DES VENTES EN GD VT </t>
  </si>
  <si>
    <t>UK : PANEL SUIVI DES VENTES EN GD VE</t>
  </si>
  <si>
    <t>Séminaire économie</t>
  </si>
  <si>
    <t>Frais divers</t>
  </si>
  <si>
    <t>Frais de fonctionnement économique</t>
  </si>
  <si>
    <t xml:space="preserve">MARCHES EXPORT </t>
  </si>
  <si>
    <t>TOTAL - ETUDES TOUS MARCHES</t>
  </si>
  <si>
    <t>Autres frais</t>
  </si>
  <si>
    <t>TOTAL Marché Export</t>
  </si>
  <si>
    <t>GTI / GTA / Douanes</t>
  </si>
  <si>
    <t>BUDGET FONCTIONNEMENT</t>
  </si>
  <si>
    <t xml:space="preserve">Fonctionnement </t>
  </si>
  <si>
    <t>Etude quinquennale</t>
  </si>
  <si>
    <t>Prix HT etude quinquennale</t>
  </si>
  <si>
    <t>Option Conservation de l'historique +400 PDV</t>
  </si>
  <si>
    <t>Total avec option</t>
  </si>
  <si>
    <t>MONTANT TOTAL OUTIL (Financé les années précédentes)</t>
  </si>
  <si>
    <t xml:space="preserve">MONTANT TOTAL OUTIL </t>
  </si>
  <si>
    <t>MONTANT TOTAL OUTIL (à financer FAM)</t>
  </si>
  <si>
    <t>MONTANT TOTAL OUTIL IP SEULES (à financer)</t>
  </si>
  <si>
    <t>MONTANT TOTAL OUTIL IP SEULES (financé années précédentes)</t>
  </si>
  <si>
    <t>MONTANT TOTAL OUTIL IP SEULES + FAM</t>
  </si>
  <si>
    <t>année 2 (2023)</t>
  </si>
  <si>
    <t>année 3 (2024)</t>
  </si>
  <si>
    <t>Evolution indice (2021 / fév 2022)</t>
  </si>
  <si>
    <t>Prix HT 2023</t>
  </si>
  <si>
    <t>Prix TTC 2023</t>
  </si>
  <si>
    <t xml:space="preserve">Prix HT 2023 </t>
  </si>
  <si>
    <t xml:space="preserve">Prix initial 2023 HT </t>
  </si>
  <si>
    <t xml:space="preserve">Prix initial 2023 TTC </t>
  </si>
  <si>
    <t>Relevés d'offres e-commerce 2023</t>
  </si>
  <si>
    <t>Prix HT 2023 RO E-commerce</t>
  </si>
  <si>
    <t>Prix HT 2023 RO Cavistes</t>
  </si>
  <si>
    <t>MONTANT TOTAL OUTIL à financer 2023</t>
  </si>
  <si>
    <t>Etude Quinquennale 2023</t>
  </si>
  <si>
    <t>Relevés d'offres Cavistes 2023</t>
  </si>
  <si>
    <t>Pas de TVA appliquée sur ce panel étranger</t>
  </si>
  <si>
    <t>Données de cadrage Allemagne</t>
  </si>
  <si>
    <t>Prix TTC GTI</t>
  </si>
  <si>
    <t xml:space="preserve">Prix HT GTI </t>
  </si>
  <si>
    <t>2023 - tous comités</t>
  </si>
  <si>
    <t>Prix HT études monopoles 2023</t>
  </si>
  <si>
    <t>Outil RO</t>
  </si>
  <si>
    <t>Prix prévisionnel HT 2023</t>
  </si>
  <si>
    <t>Outil macro - exploitation des relevés d'offres</t>
  </si>
  <si>
    <t>Cavistes - données IRI</t>
  </si>
  <si>
    <t xml:space="preserve">Cavistes - outil IRI </t>
  </si>
  <si>
    <t>Etude USA</t>
  </si>
  <si>
    <t>BDD données IP</t>
  </si>
  <si>
    <t>OUTIL RO</t>
  </si>
  <si>
    <t>CavIstes IRI</t>
  </si>
  <si>
    <t>BUDGET 2023  HORS OPTIONS INDIVUELLES</t>
  </si>
  <si>
    <t>TOTAL 2023</t>
  </si>
  <si>
    <t>TOTAL 2022</t>
  </si>
  <si>
    <t>Avec fonctionnement</t>
  </si>
  <si>
    <t>Hors fonctionnement</t>
  </si>
  <si>
    <t>Variation (%)</t>
  </si>
  <si>
    <t>Variation  (absolue)</t>
  </si>
  <si>
    <t xml:space="preserve">DELTA 2023 / 2022 </t>
  </si>
  <si>
    <t xml:space="preserve">TOTAL </t>
  </si>
  <si>
    <t>TOTAL - ETUDES</t>
  </si>
  <si>
    <t xml:space="preserve">1/ Marché Français  </t>
  </si>
  <si>
    <t>3 / Autres frais</t>
  </si>
  <si>
    <t>Dont part IP</t>
  </si>
  <si>
    <t>Dont part FAM</t>
  </si>
  <si>
    <t>Budget Révisé 2023</t>
  </si>
  <si>
    <t xml:space="preserve">2/ Marchés Export </t>
  </si>
  <si>
    <t>TOTAL GENERAL (hors autres frais)</t>
  </si>
  <si>
    <t>TOTAL GENERAL (avec autres frais)</t>
  </si>
  <si>
    <t>2/ SOUS TOTAL Marchés Export</t>
  </si>
  <si>
    <t>3/ Sous Total Autres Frais</t>
  </si>
  <si>
    <t>Commentaires</t>
  </si>
  <si>
    <t>Etude facturée directement par le prestataire</t>
  </si>
  <si>
    <t>Etude / frais facturés par le CNIV</t>
  </si>
  <si>
    <t>Annuel ou Nouveau contrat</t>
  </si>
  <si>
    <t>2ème année du contrat (2022- 2025)</t>
  </si>
  <si>
    <t>MULTI PAYS : GTI</t>
  </si>
  <si>
    <t>ALL : DONNEES DE CADRAGE</t>
  </si>
  <si>
    <t>Nouveau contrat</t>
  </si>
  <si>
    <t>BUDGET financé les années précédentes</t>
  </si>
  <si>
    <t>Facturation Cniv 2023</t>
  </si>
  <si>
    <t xml:space="preserve">Budget Révisé 2023 </t>
  </si>
  <si>
    <t>Fonctionnement</t>
  </si>
  <si>
    <t>Pour information : Options individuelles</t>
  </si>
  <si>
    <t>Pour information : total avec options individuelles</t>
  </si>
  <si>
    <t>Données de cadrage Allemagne VT &amp; Veff - AGREX</t>
  </si>
  <si>
    <t>AGREX ALL</t>
  </si>
  <si>
    <t>Etude USA (hypothèse avec participation CNIV uniquement)</t>
  </si>
  <si>
    <t>Cavistes - données IRI (hypothèse avec participation CNIV uniquement)</t>
  </si>
  <si>
    <t>Nouveau contrat : phase cadrage année 1 phase relevés année 2</t>
  </si>
  <si>
    <t>CavIstes</t>
  </si>
  <si>
    <t>Etude USA (ex-USA)</t>
  </si>
  <si>
    <t>maj 31/01/2023</t>
  </si>
  <si>
    <t>Part FAM</t>
  </si>
  <si>
    <t>Part CNIV</t>
  </si>
  <si>
    <t>aout 2021</t>
  </si>
  <si>
    <t>aout 2022</t>
  </si>
  <si>
    <t>mois de référence</t>
  </si>
  <si>
    <t>indice</t>
  </si>
  <si>
    <t>taux de révision</t>
  </si>
  <si>
    <t>lots concernés : 1,3,4,5,6,7,8</t>
  </si>
  <si>
    <t>lots concernés : 9</t>
  </si>
  <si>
    <t>Lot 8 - Ventes de vins effervescents en France - Panel distributeur IRI</t>
  </si>
  <si>
    <t>Lot 7 - Ventes de vins tranquilles en France - Panel distributeur - IRI</t>
  </si>
  <si>
    <t>Lot 9 - Achats de vins tranquilles et effervescents en France - Panel consommateurs France</t>
  </si>
  <si>
    <t>Lot 1 - Ventes de vins tranquilles et effervescents en Allemagne - Panel distributeur - IRI</t>
  </si>
  <si>
    <t>Lot 5 - Ventes de vins tranquilles aux Pays-Bas - Panel distributeur - IRI</t>
  </si>
  <si>
    <t>Contrôles</t>
  </si>
  <si>
    <t>Lot 6 - Achats de vins tranquilles et effervescents en Belgique - Panels consommateurs - GFK</t>
  </si>
  <si>
    <t>Evolution indice</t>
  </si>
  <si>
    <t>Répartition (Hors options individuelles)</t>
  </si>
  <si>
    <t>IRI Veff France</t>
  </si>
  <si>
    <t>Données de cadrage en Allemagne (Participation FranceAgrimer 40%)</t>
  </si>
  <si>
    <t>nc</t>
  </si>
  <si>
    <t>Relevés d'offres CHR (Participation FranceAgrimer 50%)</t>
  </si>
  <si>
    <t>TBC</t>
  </si>
  <si>
    <t>Total avec options individuelles</t>
  </si>
  <si>
    <t xml:space="preserve">Options individuelles: AUCUNE  </t>
  </si>
  <si>
    <t>Lot 3 - Ventes de vins tranquilles en GB - Panel distributeur - IRI</t>
  </si>
  <si>
    <t>Lot 4 - Ventes de vins effervescents en GB - Panel distributeur - IRI</t>
  </si>
  <si>
    <t>IRI UK VE</t>
  </si>
  <si>
    <t>TOTAL (hors options individuelles)</t>
  </si>
  <si>
    <t>Total avec options</t>
  </si>
  <si>
    <t>TOTAL hors Options individuelles</t>
  </si>
  <si>
    <t>Avenant du 15/12/2021</t>
  </si>
  <si>
    <t>Options communes (4 tranches de prix)</t>
  </si>
  <si>
    <t xml:space="preserve"> 2ème année du contrat (2022- 2025)</t>
  </si>
  <si>
    <t xml:space="preserve"> 1ère année du contrat (2023- 2026)</t>
  </si>
  <si>
    <t>Lot 7 - IRI VT FR</t>
  </si>
  <si>
    <t>Lot 8 - IRI FR EFF</t>
  </si>
  <si>
    <t>Lot 9 - KANTAR</t>
  </si>
  <si>
    <t>MONTANT déjà appelé les années précédentes</t>
  </si>
  <si>
    <t>Lot 3 - IRI UK VT</t>
  </si>
  <si>
    <t>Lot 4 - IRI UK VEff</t>
  </si>
  <si>
    <t>Lot 1 - IRI ALL</t>
  </si>
  <si>
    <t>Lot 5 - IRI PB</t>
  </si>
  <si>
    <t>Lot 6 - GfK BE</t>
  </si>
  <si>
    <t>Tranche optionnelle</t>
  </si>
  <si>
    <t>Tranche Ferme</t>
  </si>
  <si>
    <t xml:space="preserve">Part FAM </t>
  </si>
  <si>
    <t>TF-acompte</t>
  </si>
  <si>
    <t>TF</t>
  </si>
  <si>
    <t>Factures réglées CNIV</t>
  </si>
  <si>
    <t>Facture à parvenir</t>
  </si>
  <si>
    <t>TO</t>
  </si>
  <si>
    <t>Produits constatés d'avance - CNIV</t>
  </si>
  <si>
    <t>Etude quinquennale (Financement FranceAgrimer, participation forfaitaire 40 000 € CNIV pour l'analyse en 2022 - appelé en 2019)</t>
  </si>
  <si>
    <t>Budget voté 2023</t>
  </si>
  <si>
    <t>DELTA 2023 Révisé / 2023 voté</t>
  </si>
  <si>
    <t>Dernière mise à jour 20/03/2023</t>
  </si>
  <si>
    <t xml:space="preserve">Budget Voté 2023 </t>
  </si>
  <si>
    <t>DELTA 2023 Révisé / 2023 Voté</t>
  </si>
  <si>
    <t>Appelée en 2019 (part CNIV 39K€)</t>
  </si>
  <si>
    <t>mode de Facturation à confirmer / prestataire non connu à date</t>
  </si>
  <si>
    <t>Outil de valorisation des RO</t>
  </si>
  <si>
    <r>
      <rPr>
        <sz val="9"/>
        <color rgb="FF000000"/>
        <rFont val="Calibri"/>
        <family val="2"/>
      </rPr>
      <t xml:space="preserve">Outil valorisation des Relevés d'offre </t>
    </r>
    <r>
      <rPr>
        <i/>
        <sz val="9"/>
        <color rgb="FF000000"/>
        <rFont val="Calibri"/>
        <family val="2"/>
      </rPr>
      <t>(ex-Outil RO)</t>
    </r>
  </si>
  <si>
    <r>
      <rPr>
        <sz val="9"/>
        <color rgb="FF000000"/>
        <rFont val="Calibri"/>
        <family val="2"/>
      </rPr>
      <t>Etude de faisabilité d'un panel cavistes</t>
    </r>
    <r>
      <rPr>
        <i/>
        <sz val="9"/>
        <color rgb="FF000000"/>
        <rFont val="Calibri"/>
        <family val="2"/>
      </rPr>
      <t xml:space="preserve"> (ex-cavistes)</t>
    </r>
  </si>
  <si>
    <r>
      <t xml:space="preserve">Panel CHR </t>
    </r>
    <r>
      <rPr>
        <i/>
        <sz val="9"/>
        <color rgb="FF000000"/>
        <rFont val="Calibri"/>
        <family val="2"/>
      </rPr>
      <t>(ex-CHR)</t>
    </r>
  </si>
  <si>
    <t xml:space="preserve">BUDGET PREVISIONNEL 2023 DES OUTILS ECONOMIQUES (en € HT), hors options </t>
  </si>
  <si>
    <t>Budget avec options</t>
  </si>
  <si>
    <t>montant total des options</t>
  </si>
  <si>
    <t>Options = aucune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</si>
</sst>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,\€"/>
    <numFmt numFmtId="165" formatCode="#,##0.00,\€"/>
    <numFmt numFmtId="166" formatCode="0.0%"/>
    <numFmt numFmtId="167" formatCode="_-[$$-409]* #,##0.00_ ;_-[$$-409]* \-#,##0.00,;_-[$$-409]* \-??_ ;_-@_ "/>
    <numFmt numFmtId="168" formatCode="_-* #,##0.00\ [$SEK]_-;\-* #,##0.00\ [$SEK]_-;_-* \-??\ [$SEK]_-;_-@_-"/>
    <numFmt numFmtId="169" formatCode="_-* #,##0.00,\€_-;\-* #,##0.00,\€_-;_-* \-??&quot; €&quot;_-;_-@_-"/>
    <numFmt numFmtId="170" formatCode="0.000"/>
    <numFmt numFmtId="171" formatCode="#,##0.00\ &quot;€&quot;"/>
    <numFmt numFmtId="172" formatCode="#,##0\ &quot;€&quot;"/>
    <numFmt numFmtId="173" formatCode="0.000000%"/>
    <numFmt numFmtId="174" formatCode="_-* #,##0.000_-;\-* #,##0.000_-;_-* &quot;-&quot;??_-;_-@_-"/>
    <numFmt numFmtId="175" formatCode="_-* #,##0_-;\-* #,##0_-;_-* &quot;-&quot;??_-;_-@_-"/>
  </numFmts>
  <fonts count="7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sz val="11"/>
      <color theme="1" tint="0.499984740745262"/>
      <name val="Calibri"/>
      <family val="2"/>
      <charset val="1"/>
    </font>
    <font>
      <b/>
      <sz val="11"/>
      <color rgb="FF000000"/>
      <name val="Calibri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i/>
      <sz val="9"/>
      <color theme="1" tint="0.499984740745262"/>
      <name val="Calibri"/>
      <family val="2"/>
      <charset val="1"/>
    </font>
    <font>
      <sz val="9"/>
      <color theme="1" tint="0.499984740745262"/>
      <name val="Calibri"/>
      <family val="2"/>
      <charset val="1"/>
    </font>
    <font>
      <sz val="11"/>
      <color theme="1"/>
      <name val="Calibri"/>
      <family val="2"/>
      <charset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charset val="1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</font>
    <font>
      <u/>
      <sz val="9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1"/>
      <name val="Calibri"/>
      <family val="2"/>
    </font>
    <font>
      <b/>
      <u/>
      <sz val="11"/>
      <color rgb="FF0000FF"/>
      <name val="Calibri"/>
      <family val="2"/>
    </font>
    <font>
      <i/>
      <sz val="9"/>
      <color theme="1" tint="0.499984740745262"/>
      <name val="Arial"/>
      <family val="2"/>
    </font>
    <font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0"/>
      <name val="Calibri"/>
      <family val="2"/>
    </font>
    <font>
      <sz val="10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i/>
      <sz val="10"/>
      <color rgb="FF000000"/>
      <name val="Calibri"/>
      <family val="2"/>
    </font>
    <font>
      <i/>
      <sz val="10"/>
      <color theme="1"/>
      <name val="Calibri"/>
      <family val="2"/>
    </font>
    <font>
      <u/>
      <sz val="11"/>
      <color rgb="FF000000"/>
      <name val="Calibri"/>
      <family val="2"/>
      <charset val="1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rgb="FFEEECE1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EEECE1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EEECE1"/>
      </patternFill>
    </fill>
    <fill>
      <patternFill patternType="solid">
        <fgColor theme="7" tint="0.79998168889431442"/>
        <bgColor rgb="FFEEECE1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9">
    <xf numFmtId="0" fontId="0" fillId="0" borderId="0"/>
    <xf numFmtId="169" fontId="16" fillId="0" borderId="0" applyBorder="0" applyProtection="0"/>
    <xf numFmtId="9" fontId="16" fillId="0" borderId="0" applyBorder="0" applyProtection="0"/>
    <xf numFmtId="0" fontId="8" fillId="0" borderId="0" applyBorder="0" applyProtection="0"/>
    <xf numFmtId="0" fontId="16" fillId="0" borderId="0"/>
    <xf numFmtId="0" fontId="17" fillId="0" borderId="0"/>
    <xf numFmtId="9" fontId="16" fillId="0" borderId="0" applyBorder="0" applyProtection="0"/>
    <xf numFmtId="0" fontId="33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6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3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0" fontId="0" fillId="0" borderId="0" xfId="0" applyNumberFormat="1" applyAlignment="1">
      <alignment wrapText="1"/>
    </xf>
    <xf numFmtId="10" fontId="0" fillId="0" borderId="0" xfId="2" applyNumberFormat="1" applyFont="1" applyBorder="1" applyAlignment="1" applyProtection="1">
      <alignment wrapText="1"/>
    </xf>
    <xf numFmtId="0" fontId="5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10" fontId="5" fillId="0" borderId="0" xfId="2" applyNumberFormat="1" applyFont="1" applyBorder="1" applyAlignment="1" applyProtection="1">
      <alignment wrapText="1"/>
    </xf>
    <xf numFmtId="10" fontId="5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5" fillId="0" borderId="6" xfId="0" applyFont="1" applyBorder="1" applyAlignment="1">
      <alignment horizontal="left" vertical="center" wrapText="1"/>
    </xf>
    <xf numFmtId="166" fontId="16" fillId="0" borderId="0" xfId="2" applyNumberFormat="1" applyBorder="1" applyProtection="1"/>
    <xf numFmtId="0" fontId="5" fillId="0" borderId="6" xfId="0" applyFon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165" fontId="0" fillId="0" borderId="6" xfId="0" applyNumberForma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0" fontId="5" fillId="4" borderId="22" xfId="0" applyFont="1" applyFill="1" applyBorder="1" applyAlignment="1">
      <alignment horizontal="center" vertical="center" wrapText="1"/>
    </xf>
    <xf numFmtId="165" fontId="5" fillId="4" borderId="23" xfId="0" applyNumberFormat="1" applyFont="1" applyFill="1" applyBorder="1" applyAlignment="1">
      <alignment horizontal="left" vertical="center" wrapText="1"/>
    </xf>
    <xf numFmtId="165" fontId="12" fillId="4" borderId="24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0" fontId="0" fillId="0" borderId="6" xfId="0" applyNumberFormat="1" applyBorder="1" applyAlignment="1">
      <alignment wrapText="1"/>
    </xf>
    <xf numFmtId="0" fontId="13" fillId="0" borderId="6" xfId="0" applyFont="1" applyBorder="1" applyAlignment="1">
      <alignment wrapText="1"/>
    </xf>
    <xf numFmtId="165" fontId="13" fillId="0" borderId="6" xfId="0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165" fontId="13" fillId="0" borderId="10" xfId="0" applyNumberFormat="1" applyFont="1" applyBorder="1" applyAlignment="1">
      <alignment wrapText="1"/>
    </xf>
    <xf numFmtId="165" fontId="13" fillId="0" borderId="14" xfId="0" applyNumberFormat="1" applyFont="1" applyBorder="1" applyAlignment="1">
      <alignment wrapText="1"/>
    </xf>
    <xf numFmtId="0" fontId="13" fillId="0" borderId="17" xfId="0" applyFont="1" applyBorder="1" applyAlignment="1">
      <alignment wrapText="1"/>
    </xf>
    <xf numFmtId="165" fontId="13" fillId="0" borderId="17" xfId="0" applyNumberFormat="1" applyFont="1" applyBorder="1" applyAlignment="1">
      <alignment wrapText="1"/>
    </xf>
    <xf numFmtId="165" fontId="5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165" fontId="7" fillId="0" borderId="8" xfId="0" applyNumberFormat="1" applyFont="1" applyBorder="1" applyAlignment="1">
      <alignment wrapText="1"/>
    </xf>
    <xf numFmtId="168" fontId="0" fillId="0" borderId="6" xfId="0" applyNumberFormat="1" applyBorder="1" applyAlignment="1">
      <alignment wrapText="1"/>
    </xf>
    <xf numFmtId="0" fontId="0" fillId="0" borderId="17" xfId="0" applyBorder="1" applyAlignment="1">
      <alignment wrapText="1"/>
    </xf>
    <xf numFmtId="165" fontId="0" fillId="0" borderId="17" xfId="0" applyNumberFormat="1" applyBorder="1" applyAlignment="1">
      <alignment wrapText="1"/>
    </xf>
    <xf numFmtId="167" fontId="0" fillId="0" borderId="6" xfId="0" applyNumberFormat="1" applyBorder="1" applyAlignment="1">
      <alignment wrapText="1"/>
    </xf>
    <xf numFmtId="165" fontId="0" fillId="0" borderId="6" xfId="2" applyNumberFormat="1" applyFont="1" applyBorder="1" applyAlignment="1" applyProtection="1">
      <alignment wrapText="1"/>
    </xf>
    <xf numFmtId="165" fontId="0" fillId="0" borderId="17" xfId="2" applyNumberFormat="1" applyFont="1" applyBorder="1" applyAlignment="1" applyProtection="1">
      <alignment wrapText="1"/>
    </xf>
    <xf numFmtId="0" fontId="5" fillId="0" borderId="19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wrapText="1"/>
    </xf>
    <xf numFmtId="165" fontId="7" fillId="0" borderId="15" xfId="2" applyNumberFormat="1" applyFont="1" applyBorder="1" applyAlignment="1" applyProtection="1">
      <alignment wrapText="1"/>
    </xf>
    <xf numFmtId="2" fontId="15" fillId="0" borderId="0" xfId="0" applyNumberFormat="1" applyFont="1" applyAlignment="1">
      <alignment horizontal="left" vertical="top" wrapText="1"/>
    </xf>
    <xf numFmtId="172" fontId="0" fillId="0" borderId="0" xfId="0" applyNumberFormat="1"/>
    <xf numFmtId="172" fontId="5" fillId="0" borderId="0" xfId="0" applyNumberFormat="1" applyFont="1" applyAlignment="1">
      <alignment wrapText="1"/>
    </xf>
    <xf numFmtId="0" fontId="0" fillId="0" borderId="6" xfId="0" applyBorder="1"/>
    <xf numFmtId="172" fontId="0" fillId="0" borderId="0" xfId="0" applyNumberFormat="1" applyAlignment="1">
      <alignment wrapText="1"/>
    </xf>
    <xf numFmtId="172" fontId="6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wrapText="1"/>
    </xf>
    <xf numFmtId="0" fontId="19" fillId="0" borderId="0" xfId="0" applyFont="1"/>
    <xf numFmtId="164" fontId="19" fillId="0" borderId="0" xfId="0" applyNumberFormat="1" applyFont="1" applyAlignment="1">
      <alignment wrapText="1"/>
    </xf>
    <xf numFmtId="0" fontId="22" fillId="0" borderId="0" xfId="0" applyFont="1"/>
    <xf numFmtId="164" fontId="22" fillId="0" borderId="0" xfId="0" applyNumberFormat="1" applyFont="1"/>
    <xf numFmtId="0" fontId="21" fillId="0" borderId="0" xfId="0" applyFont="1"/>
    <xf numFmtId="164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65" fontId="22" fillId="0" borderId="0" xfId="0" applyNumberFormat="1" applyFont="1"/>
    <xf numFmtId="172" fontId="22" fillId="0" borderId="0" xfId="0" applyNumberFormat="1" applyFont="1" applyAlignment="1">
      <alignment wrapText="1"/>
    </xf>
    <xf numFmtId="165" fontId="22" fillId="0" borderId="0" xfId="2" applyNumberFormat="1" applyFont="1" applyBorder="1" applyProtection="1"/>
    <xf numFmtId="166" fontId="22" fillId="0" borderId="0" xfId="0" applyNumberFormat="1" applyFont="1"/>
    <xf numFmtId="0" fontId="22" fillId="3" borderId="0" xfId="0" applyFont="1" applyFill="1" applyAlignment="1">
      <alignment wrapText="1"/>
    </xf>
    <xf numFmtId="164" fontId="19" fillId="0" borderId="0" xfId="0" applyNumberFormat="1" applyFont="1"/>
    <xf numFmtId="172" fontId="19" fillId="0" borderId="0" xfId="0" applyNumberFormat="1" applyFont="1"/>
    <xf numFmtId="0" fontId="23" fillId="0" borderId="0" xfId="0" applyFont="1"/>
    <xf numFmtId="10" fontId="19" fillId="0" borderId="0" xfId="0" applyNumberFormat="1" applyFont="1"/>
    <xf numFmtId="164" fontId="24" fillId="0" borderId="0" xfId="0" applyNumberFormat="1" applyFont="1"/>
    <xf numFmtId="0" fontId="27" fillId="0" borderId="0" xfId="0" applyFont="1"/>
    <xf numFmtId="172" fontId="28" fillId="0" borderId="0" xfId="0" applyNumberFormat="1" applyFont="1"/>
    <xf numFmtId="0" fontId="30" fillId="0" borderId="6" xfId="0" applyFont="1" applyBorder="1"/>
    <xf numFmtId="172" fontId="30" fillId="0" borderId="6" xfId="0" applyNumberFormat="1" applyFont="1" applyBorder="1"/>
    <xf numFmtId="172" fontId="29" fillId="0" borderId="6" xfId="0" applyNumberFormat="1" applyFont="1" applyBorder="1"/>
    <xf numFmtId="164" fontId="31" fillId="0" borderId="0" xfId="0" applyNumberFormat="1" applyFont="1" applyAlignment="1">
      <alignment wrapText="1"/>
    </xf>
    <xf numFmtId="164" fontId="30" fillId="0" borderId="0" xfId="0" applyNumberFormat="1" applyFont="1" applyAlignment="1">
      <alignment wrapText="1"/>
    </xf>
    <xf numFmtId="0" fontId="30" fillId="0" borderId="0" xfId="0" applyFont="1"/>
    <xf numFmtId="170" fontId="25" fillId="0" borderId="6" xfId="2" applyNumberFormat="1" applyFont="1" applyBorder="1" applyProtection="1"/>
    <xf numFmtId="165" fontId="34" fillId="0" borderId="0" xfId="0" applyNumberFormat="1" applyFont="1" applyAlignment="1">
      <alignment wrapText="1"/>
    </xf>
    <xf numFmtId="0" fontId="17" fillId="0" borderId="13" xfId="0" applyFont="1" applyBorder="1"/>
    <xf numFmtId="10" fontId="17" fillId="0" borderId="6" xfId="2" applyNumberFormat="1" applyFont="1" applyBorder="1" applyAlignment="1">
      <alignment vertical="center" wrapText="1"/>
    </xf>
    <xf numFmtId="10" fontId="17" fillId="5" borderId="6" xfId="2" applyNumberFormat="1" applyFont="1" applyFill="1" applyBorder="1" applyAlignment="1">
      <alignment vertical="center" wrapText="1"/>
    </xf>
    <xf numFmtId="0" fontId="35" fillId="0" borderId="6" xfId="2" applyNumberFormat="1" applyFont="1" applyBorder="1" applyAlignment="1">
      <alignment horizontal="center" wrapText="1"/>
    </xf>
    <xf numFmtId="0" fontId="36" fillId="6" borderId="13" xfId="0" applyFont="1" applyFill="1" applyBorder="1" applyAlignment="1">
      <alignment vertical="center" wrapText="1"/>
    </xf>
    <xf numFmtId="10" fontId="17" fillId="0" borderId="6" xfId="2" applyNumberFormat="1" applyFont="1" applyBorder="1"/>
    <xf numFmtId="0" fontId="30" fillId="9" borderId="6" xfId="0" applyFont="1" applyFill="1" applyBorder="1"/>
    <xf numFmtId="0" fontId="29" fillId="0" borderId="6" xfId="0" applyFont="1" applyBorder="1" applyAlignment="1">
      <alignment horizontal="center"/>
    </xf>
    <xf numFmtId="0" fontId="20" fillId="0" borderId="0" xfId="0" applyFont="1"/>
    <xf numFmtId="173" fontId="0" fillId="0" borderId="0" xfId="0" applyNumberFormat="1"/>
    <xf numFmtId="0" fontId="30" fillId="10" borderId="6" xfId="0" applyFont="1" applyFill="1" applyBorder="1"/>
    <xf numFmtId="0" fontId="30" fillId="11" borderId="6" xfId="0" applyFont="1" applyFill="1" applyBorder="1"/>
    <xf numFmtId="0" fontId="37" fillId="0" borderId="0" xfId="0" applyFont="1"/>
    <xf numFmtId="0" fontId="35" fillId="0" borderId="17" xfId="2" applyNumberFormat="1" applyFont="1" applyBorder="1" applyAlignment="1">
      <alignment horizontal="center" wrapText="1"/>
    </xf>
    <xf numFmtId="172" fontId="18" fillId="0" borderId="0" xfId="2" applyNumberFormat="1" applyFont="1" applyBorder="1"/>
    <xf numFmtId="172" fontId="16" fillId="11" borderId="6" xfId="2" applyNumberFormat="1" applyFill="1" applyBorder="1"/>
    <xf numFmtId="0" fontId="29" fillId="0" borderId="6" xfId="0" applyFont="1" applyBorder="1"/>
    <xf numFmtId="172" fontId="16" fillId="9" borderId="6" xfId="2" applyNumberFormat="1" applyFill="1" applyBorder="1"/>
    <xf numFmtId="0" fontId="38" fillId="0" borderId="0" xfId="0" applyFont="1"/>
    <xf numFmtId="10" fontId="16" fillId="0" borderId="6" xfId="2" applyNumberFormat="1" applyBorder="1" applyProtection="1"/>
    <xf numFmtId="172" fontId="30" fillId="9" borderId="6" xfId="0" applyNumberFormat="1" applyFont="1" applyFill="1" applyBorder="1"/>
    <xf numFmtId="0" fontId="30" fillId="0" borderId="6" xfId="0" applyFont="1" applyBorder="1" applyAlignment="1">
      <alignment wrapText="1"/>
    </xf>
    <xf numFmtId="0" fontId="29" fillId="0" borderId="6" xfId="0" applyFont="1" applyBorder="1" applyAlignment="1">
      <alignment horizontal="center" vertical="center" wrapText="1"/>
    </xf>
    <xf numFmtId="172" fontId="22" fillId="0" borderId="0" xfId="0" applyNumberFormat="1" applyFont="1"/>
    <xf numFmtId="172" fontId="42" fillId="3" borderId="9" xfId="2" applyNumberFormat="1" applyFont="1" applyFill="1" applyBorder="1" applyAlignment="1" applyProtection="1">
      <alignment wrapText="1"/>
    </xf>
    <xf numFmtId="172" fontId="26" fillId="7" borderId="29" xfId="0" applyNumberFormat="1" applyFont="1" applyFill="1" applyBorder="1" applyAlignment="1">
      <alignment wrapText="1"/>
    </xf>
    <xf numFmtId="0" fontId="44" fillId="0" borderId="6" xfId="0" applyFont="1" applyBorder="1" applyAlignment="1">
      <alignment wrapText="1"/>
    </xf>
    <xf numFmtId="0" fontId="3" fillId="0" borderId="6" xfId="0" applyFont="1" applyBorder="1"/>
    <xf numFmtId="172" fontId="3" fillId="0" borderId="6" xfId="0" applyNumberFormat="1" applyFont="1" applyBorder="1"/>
    <xf numFmtId="172" fontId="29" fillId="0" borderId="0" xfId="0" applyNumberFormat="1" applyFont="1"/>
    <xf numFmtId="172" fontId="29" fillId="0" borderId="6" xfId="0" applyNumberFormat="1" applyFont="1" applyBorder="1" applyAlignment="1">
      <alignment wrapText="1"/>
    </xf>
    <xf numFmtId="172" fontId="30" fillId="11" borderId="6" xfId="0" applyNumberFormat="1" applyFont="1" applyFill="1" applyBorder="1"/>
    <xf numFmtId="172" fontId="42" fillId="3" borderId="27" xfId="2" applyNumberFormat="1" applyFont="1" applyFill="1" applyBorder="1" applyAlignment="1" applyProtection="1">
      <alignment wrapText="1"/>
    </xf>
    <xf numFmtId="172" fontId="26" fillId="7" borderId="30" xfId="0" applyNumberFormat="1" applyFont="1" applyFill="1" applyBorder="1" applyAlignment="1">
      <alignment wrapText="1"/>
    </xf>
    <xf numFmtId="172" fontId="42" fillId="0" borderId="0" xfId="2" applyNumberFormat="1" applyFont="1" applyBorder="1" applyAlignment="1" applyProtection="1">
      <alignment wrapText="1"/>
    </xf>
    <xf numFmtId="172" fontId="26" fillId="0" borderId="0" xfId="2" applyNumberFormat="1" applyFont="1" applyBorder="1" applyAlignment="1" applyProtection="1">
      <alignment wrapText="1"/>
    </xf>
    <xf numFmtId="172" fontId="26" fillId="0" borderId="0" xfId="0" applyNumberFormat="1" applyFont="1" applyAlignment="1">
      <alignment wrapText="1"/>
    </xf>
    <xf numFmtId="172" fontId="26" fillId="0" borderId="28" xfId="2" applyNumberFormat="1" applyFont="1" applyBorder="1" applyAlignment="1" applyProtection="1">
      <alignment wrapText="1"/>
    </xf>
    <xf numFmtId="172" fontId="26" fillId="0" borderId="5" xfId="2" applyNumberFormat="1" applyFont="1" applyBorder="1" applyAlignment="1" applyProtection="1">
      <alignment wrapText="1"/>
    </xf>
    <xf numFmtId="0" fontId="26" fillId="0" borderId="34" xfId="0" applyFont="1" applyBorder="1"/>
    <xf numFmtId="0" fontId="26" fillId="0" borderId="35" xfId="0" applyFont="1" applyBorder="1"/>
    <xf numFmtId="172" fontId="22" fillId="0" borderId="5" xfId="0" applyNumberFormat="1" applyFont="1" applyBorder="1" applyAlignment="1">
      <alignment wrapText="1"/>
    </xf>
    <xf numFmtId="172" fontId="22" fillId="0" borderId="28" xfId="0" applyNumberFormat="1" applyFont="1" applyBorder="1" applyAlignment="1">
      <alignment wrapText="1"/>
    </xf>
    <xf numFmtId="0" fontId="39" fillId="8" borderId="37" xfId="3" applyFont="1" applyFill="1" applyBorder="1" applyAlignment="1" applyProtection="1">
      <alignment horizontal="center" vertical="center" wrapText="1"/>
    </xf>
    <xf numFmtId="0" fontId="43" fillId="8" borderId="27" xfId="3" applyFont="1" applyFill="1" applyBorder="1" applyAlignment="1" applyProtection="1">
      <alignment horizontal="center" vertical="center" wrapText="1"/>
    </xf>
    <xf numFmtId="0" fontId="36" fillId="22" borderId="19" xfId="0" applyFont="1" applyFill="1" applyBorder="1" applyAlignment="1">
      <alignment horizontal="left" vertical="center"/>
    </xf>
    <xf numFmtId="0" fontId="29" fillId="22" borderId="20" xfId="0" applyFont="1" applyFill="1" applyBorder="1" applyAlignment="1">
      <alignment vertical="center" wrapText="1"/>
    </xf>
    <xf numFmtId="0" fontId="29" fillId="22" borderId="21" xfId="0" applyFont="1" applyFill="1" applyBorder="1" applyAlignment="1">
      <alignment vertical="center" wrapText="1"/>
    </xf>
    <xf numFmtId="0" fontId="45" fillId="5" borderId="37" xfId="3" applyFont="1" applyFill="1" applyBorder="1" applyAlignment="1" applyProtection="1">
      <alignment horizontal="center" vertical="center"/>
    </xf>
    <xf numFmtId="172" fontId="32" fillId="3" borderId="5" xfId="2" applyNumberFormat="1" applyFont="1" applyFill="1" applyBorder="1" applyAlignment="1" applyProtection="1">
      <alignment horizontal="center" vertical="center" wrapText="1"/>
    </xf>
    <xf numFmtId="172" fontId="32" fillId="3" borderId="6" xfId="2" applyNumberFormat="1" applyFont="1" applyFill="1" applyBorder="1" applyAlignment="1" applyProtection="1">
      <alignment horizontal="center" vertical="center" wrapText="1"/>
    </xf>
    <xf numFmtId="172" fontId="27" fillId="0" borderId="6" xfId="2" applyNumberFormat="1" applyFont="1" applyBorder="1" applyAlignment="1" applyProtection="1">
      <alignment horizontal="center" vertical="center" wrapText="1"/>
    </xf>
    <xf numFmtId="172" fontId="32" fillId="0" borderId="6" xfId="2" applyNumberFormat="1" applyFont="1" applyBorder="1" applyAlignment="1" applyProtection="1">
      <alignment horizontal="center" vertical="center" wrapText="1"/>
    </xf>
    <xf numFmtId="172" fontId="27" fillId="20" borderId="6" xfId="2" applyNumberFormat="1" applyFont="1" applyFill="1" applyBorder="1" applyAlignment="1" applyProtection="1">
      <alignment horizontal="center" vertical="center" wrapText="1"/>
    </xf>
    <xf numFmtId="172" fontId="26" fillId="0" borderId="28" xfId="2" applyNumberFormat="1" applyFont="1" applyBorder="1" applyAlignment="1" applyProtection="1">
      <alignment horizontal="center" vertical="center" wrapText="1"/>
    </xf>
    <xf numFmtId="172" fontId="32" fillId="0" borderId="6" xfId="2" quotePrefix="1" applyNumberFormat="1" applyFont="1" applyBorder="1" applyAlignment="1" applyProtection="1">
      <alignment horizontal="center" vertical="center" wrapText="1"/>
    </xf>
    <xf numFmtId="172" fontId="26" fillId="0" borderId="6" xfId="2" applyNumberFormat="1" applyFont="1" applyBorder="1" applyAlignment="1" applyProtection="1">
      <alignment horizontal="center" vertical="center" wrapText="1"/>
    </xf>
    <xf numFmtId="172" fontId="32" fillId="18" borderId="5" xfId="2" applyNumberFormat="1" applyFont="1" applyFill="1" applyBorder="1" applyAlignment="1" applyProtection="1">
      <alignment horizontal="center" vertical="center" wrapText="1"/>
    </xf>
    <xf numFmtId="172" fontId="32" fillId="18" borderId="6" xfId="2" applyNumberFormat="1" applyFont="1" applyFill="1" applyBorder="1" applyAlignment="1" applyProtection="1">
      <alignment horizontal="center" vertical="center" wrapText="1"/>
    </xf>
    <xf numFmtId="172" fontId="27" fillId="19" borderId="6" xfId="2" applyNumberFormat="1" applyFont="1" applyFill="1" applyBorder="1" applyAlignment="1" applyProtection="1">
      <alignment horizontal="center" vertical="center" wrapText="1"/>
    </xf>
    <xf numFmtId="172" fontId="32" fillId="19" borderId="6" xfId="2" applyNumberFormat="1" applyFont="1" applyFill="1" applyBorder="1" applyAlignment="1" applyProtection="1">
      <alignment horizontal="center" vertical="center" wrapText="1"/>
    </xf>
    <xf numFmtId="172" fontId="26" fillId="19" borderId="28" xfId="2" applyNumberFormat="1" applyFont="1" applyFill="1" applyBorder="1" applyAlignment="1" applyProtection="1">
      <alignment horizontal="center" vertical="center" wrapText="1"/>
    </xf>
    <xf numFmtId="172" fontId="32" fillId="0" borderId="17" xfId="2" applyNumberFormat="1" applyFont="1" applyBorder="1" applyAlignment="1" applyProtection="1">
      <alignment horizontal="center" vertical="center" wrapText="1"/>
    </xf>
    <xf numFmtId="172" fontId="27" fillId="0" borderId="17" xfId="2" applyNumberFormat="1" applyFont="1" applyBorder="1" applyAlignment="1" applyProtection="1">
      <alignment horizontal="center" vertical="center" wrapText="1"/>
    </xf>
    <xf numFmtId="172" fontId="32" fillId="0" borderId="10" xfId="2" applyNumberFormat="1" applyFont="1" applyBorder="1" applyAlignment="1" applyProtection="1">
      <alignment horizontal="center" vertical="center" wrapText="1"/>
    </xf>
    <xf numFmtId="172" fontId="27" fillId="0" borderId="10" xfId="2" applyNumberFormat="1" applyFont="1" applyBorder="1" applyAlignment="1" applyProtection="1">
      <alignment horizontal="center" vertical="center" wrapText="1"/>
    </xf>
    <xf numFmtId="172" fontId="27" fillId="0" borderId="25" xfId="2" applyNumberFormat="1" applyFont="1" applyBorder="1" applyAlignment="1" applyProtection="1">
      <alignment horizontal="center" vertical="center" wrapText="1"/>
    </xf>
    <xf numFmtId="172" fontId="27" fillId="20" borderId="25" xfId="2" applyNumberFormat="1" applyFont="1" applyFill="1" applyBorder="1" applyAlignment="1" applyProtection="1">
      <alignment horizontal="center" vertical="center" wrapText="1"/>
    </xf>
    <xf numFmtId="172" fontId="26" fillId="0" borderId="30" xfId="2" applyNumberFormat="1" applyFont="1" applyBorder="1" applyAlignment="1" applyProtection="1">
      <alignment horizontal="center" vertical="center" wrapText="1"/>
    </xf>
    <xf numFmtId="172" fontId="42" fillId="3" borderId="9" xfId="2" applyNumberFormat="1" applyFont="1" applyFill="1" applyBorder="1" applyAlignment="1" applyProtection="1">
      <alignment horizontal="center" vertical="center" wrapText="1"/>
    </xf>
    <xf numFmtId="172" fontId="42" fillId="3" borderId="4" xfId="2" applyNumberFormat="1" applyFont="1" applyFill="1" applyBorder="1" applyAlignment="1" applyProtection="1">
      <alignment horizontal="center" vertical="center" wrapText="1"/>
    </xf>
    <xf numFmtId="172" fontId="42" fillId="3" borderId="27" xfId="2" applyNumberFormat="1" applyFont="1" applyFill="1" applyBorder="1" applyAlignment="1" applyProtection="1">
      <alignment horizontal="center" vertical="center" wrapText="1"/>
    </xf>
    <xf numFmtId="172" fontId="42" fillId="0" borderId="0" xfId="2" applyNumberFormat="1" applyFont="1" applyBorder="1" applyAlignment="1" applyProtection="1">
      <alignment horizontal="center" vertical="center" wrapText="1"/>
    </xf>
    <xf numFmtId="172" fontId="42" fillId="3" borderId="6" xfId="2" applyNumberFormat="1" applyFont="1" applyFill="1" applyBorder="1" applyAlignment="1" applyProtection="1">
      <alignment horizontal="center" vertical="center" wrapText="1"/>
    </xf>
    <xf numFmtId="172" fontId="42" fillId="0" borderId="6" xfId="2" applyNumberFormat="1" applyFont="1" applyBorder="1" applyAlignment="1" applyProtection="1">
      <alignment horizontal="center" vertical="center" wrapText="1"/>
    </xf>
    <xf numFmtId="172" fontId="26" fillId="0" borderId="0" xfId="2" applyNumberFormat="1" applyFont="1" applyBorder="1" applyAlignment="1" applyProtection="1">
      <alignment horizontal="center" vertical="center" wrapText="1"/>
    </xf>
    <xf numFmtId="172" fontId="42" fillId="0" borderId="5" xfId="2" quotePrefix="1" applyNumberFormat="1" applyFont="1" applyBorder="1" applyAlignment="1" applyProtection="1">
      <alignment horizontal="center" vertical="center" wrapText="1"/>
    </xf>
    <xf numFmtId="172" fontId="42" fillId="0" borderId="6" xfId="2" quotePrefix="1" applyNumberFormat="1" applyFont="1" applyBorder="1" applyAlignment="1" applyProtection="1">
      <alignment horizontal="center" vertical="center" wrapText="1"/>
    </xf>
    <xf numFmtId="172" fontId="26" fillId="7" borderId="29" xfId="0" applyNumberFormat="1" applyFont="1" applyFill="1" applyBorder="1" applyAlignment="1">
      <alignment horizontal="center" vertical="center" wrapText="1"/>
    </xf>
    <xf numFmtId="172" fontId="26" fillId="7" borderId="30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Alignment="1">
      <alignment horizontal="center" vertical="center" wrapText="1"/>
    </xf>
    <xf numFmtId="0" fontId="27" fillId="0" borderId="35" xfId="0" applyFont="1" applyBorder="1"/>
    <xf numFmtId="0" fontId="29" fillId="23" borderId="34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7" fillId="0" borderId="39" xfId="0" applyFont="1" applyBorder="1"/>
    <xf numFmtId="172" fontId="27" fillId="20" borderId="17" xfId="2" applyNumberFormat="1" applyFont="1" applyFill="1" applyBorder="1" applyAlignment="1" applyProtection="1">
      <alignment horizontal="center" vertical="center" wrapText="1"/>
    </xf>
    <xf numFmtId="172" fontId="26" fillId="0" borderId="41" xfId="2" applyNumberFormat="1" applyFont="1" applyBorder="1" applyAlignment="1" applyProtection="1">
      <alignment horizontal="center" vertical="center" wrapText="1"/>
    </xf>
    <xf numFmtId="172" fontId="42" fillId="21" borderId="4" xfId="2" applyNumberFormat="1" applyFont="1" applyFill="1" applyBorder="1" applyAlignment="1" applyProtection="1">
      <alignment horizontal="center" vertical="center" wrapText="1"/>
    </xf>
    <xf numFmtId="172" fontId="27" fillId="0" borderId="28" xfId="2" applyNumberFormat="1" applyFont="1" applyBorder="1" applyAlignment="1" applyProtection="1">
      <alignment horizontal="center" vertical="center" wrapText="1"/>
    </xf>
    <xf numFmtId="172" fontId="42" fillId="3" borderId="42" xfId="2" applyNumberFormat="1" applyFont="1" applyFill="1" applyBorder="1" applyAlignment="1" applyProtection="1">
      <alignment horizontal="center" vertical="center" wrapText="1"/>
    </xf>
    <xf numFmtId="172" fontId="42" fillId="3" borderId="12" xfId="2" applyNumberFormat="1" applyFont="1" applyFill="1" applyBorder="1" applyAlignment="1" applyProtection="1">
      <alignment horizontal="center" vertical="center" wrapText="1"/>
    </xf>
    <xf numFmtId="172" fontId="26" fillId="7" borderId="43" xfId="0" applyNumberFormat="1" applyFont="1" applyFill="1" applyBorder="1" applyAlignment="1">
      <alignment horizontal="center" vertical="center" wrapText="1"/>
    </xf>
    <xf numFmtId="172" fontId="29" fillId="0" borderId="36" xfId="0" applyNumberFormat="1" applyFont="1" applyBorder="1"/>
    <xf numFmtId="164" fontId="46" fillId="0" borderId="35" xfId="0" applyNumberFormat="1" applyFont="1" applyBorder="1" applyAlignment="1">
      <alignment wrapText="1"/>
    </xf>
    <xf numFmtId="172" fontId="46" fillId="0" borderId="12" xfId="0" applyNumberFormat="1" applyFont="1" applyBorder="1" applyAlignment="1">
      <alignment horizontal="center" vertical="center" wrapText="1"/>
    </xf>
    <xf numFmtId="172" fontId="46" fillId="0" borderId="6" xfId="0" applyNumberFormat="1" applyFont="1" applyBorder="1" applyAlignment="1">
      <alignment horizontal="center" vertical="center" wrapText="1"/>
    </xf>
    <xf numFmtId="172" fontId="34" fillId="20" borderId="6" xfId="2" applyNumberFormat="1" applyFont="1" applyFill="1" applyBorder="1" applyAlignment="1" applyProtection="1">
      <alignment horizontal="center" vertical="center" wrapText="1"/>
    </xf>
    <xf numFmtId="172" fontId="46" fillId="0" borderId="28" xfId="0" applyNumberFormat="1" applyFont="1" applyBorder="1" applyAlignment="1">
      <alignment horizontal="center" vertical="center" wrapText="1"/>
    </xf>
    <xf numFmtId="172" fontId="46" fillId="0" borderId="0" xfId="0" applyNumberFormat="1" applyFont="1" applyAlignment="1">
      <alignment horizontal="center" vertical="center" wrapText="1"/>
    </xf>
    <xf numFmtId="0" fontId="39" fillId="8" borderId="9" xfId="3" applyFont="1" applyFill="1" applyBorder="1" applyAlignment="1" applyProtection="1">
      <alignment horizontal="center" vertical="center" wrapText="1"/>
    </xf>
    <xf numFmtId="171" fontId="39" fillId="8" borderId="4" xfId="3" applyNumberFormat="1" applyFont="1" applyFill="1" applyBorder="1" applyAlignment="1" applyProtection="1">
      <alignment horizontal="center" vertical="center" wrapText="1"/>
    </xf>
    <xf numFmtId="0" fontId="39" fillId="8" borderId="4" xfId="3" applyFont="1" applyFill="1" applyBorder="1" applyAlignment="1" applyProtection="1">
      <alignment horizontal="center" vertical="center" wrapText="1"/>
    </xf>
    <xf numFmtId="172" fontId="32" fillId="19" borderId="6" xfId="2" quotePrefix="1" applyNumberFormat="1" applyFont="1" applyFill="1" applyBorder="1" applyAlignment="1" applyProtection="1">
      <alignment horizontal="center" vertical="center" wrapText="1"/>
    </xf>
    <xf numFmtId="172" fontId="27" fillId="6" borderId="17" xfId="2" applyNumberFormat="1" applyFont="1" applyFill="1" applyBorder="1" applyAlignment="1" applyProtection="1">
      <alignment horizontal="center" vertical="center" wrapText="1"/>
    </xf>
    <xf numFmtId="172" fontId="27" fillId="6" borderId="6" xfId="2" applyNumberFormat="1" applyFont="1" applyFill="1" applyBorder="1" applyAlignment="1" applyProtection="1">
      <alignment horizontal="center" vertical="center" wrapText="1"/>
    </xf>
    <xf numFmtId="172" fontId="27" fillId="20" borderId="12" xfId="2" applyNumberFormat="1" applyFont="1" applyFill="1" applyBorder="1" applyAlignment="1" applyProtection="1">
      <alignment horizontal="center" vertical="center" wrapText="1"/>
    </xf>
    <xf numFmtId="172" fontId="27" fillId="19" borderId="12" xfId="2" applyNumberFormat="1" applyFont="1" applyFill="1" applyBorder="1" applyAlignment="1" applyProtection="1">
      <alignment horizontal="center" vertical="center" wrapText="1"/>
    </xf>
    <xf numFmtId="172" fontId="46" fillId="0" borderId="5" xfId="0" applyNumberFormat="1" applyFont="1" applyBorder="1" applyAlignment="1">
      <alignment horizontal="center" vertical="center" wrapText="1"/>
    </xf>
    <xf numFmtId="0" fontId="39" fillId="0" borderId="0" xfId="3" applyFont="1" applyBorder="1" applyAlignment="1" applyProtection="1">
      <alignment horizontal="center" vertical="center" wrapText="1"/>
    </xf>
    <xf numFmtId="172" fontId="27" fillId="0" borderId="0" xfId="2" applyNumberFormat="1" applyFont="1" applyBorder="1" applyAlignment="1" applyProtection="1">
      <alignment horizontal="center" vertical="center" wrapText="1"/>
    </xf>
    <xf numFmtId="172" fontId="32" fillId="0" borderId="5" xfId="2" quotePrefix="1" applyNumberFormat="1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71" fontId="39" fillId="8" borderId="38" xfId="3" applyNumberFormat="1" applyFont="1" applyFill="1" applyBorder="1" applyAlignment="1" applyProtection="1">
      <alignment horizontal="center" vertical="center" wrapText="1"/>
    </xf>
    <xf numFmtId="171" fontId="39" fillId="8" borderId="10" xfId="3" applyNumberFormat="1" applyFont="1" applyFill="1" applyBorder="1" applyAlignment="1" applyProtection="1">
      <alignment horizontal="center" vertical="center" wrapText="1"/>
    </xf>
    <xf numFmtId="0" fontId="45" fillId="5" borderId="11" xfId="3" applyFont="1" applyFill="1" applyBorder="1" applyAlignment="1" applyProtection="1">
      <alignment horizontal="center" vertical="center"/>
    </xf>
    <xf numFmtId="0" fontId="43" fillId="8" borderId="44" xfId="3" applyFont="1" applyFill="1" applyBorder="1" applyAlignment="1" applyProtection="1">
      <alignment horizontal="center" vertical="center" wrapText="1"/>
    </xf>
    <xf numFmtId="0" fontId="29" fillId="23" borderId="19" xfId="0" applyFont="1" applyFill="1" applyBorder="1" applyAlignment="1">
      <alignment vertical="center"/>
    </xf>
    <xf numFmtId="0" fontId="29" fillId="23" borderId="20" xfId="0" applyFont="1" applyFill="1" applyBorder="1" applyAlignment="1">
      <alignment vertical="center"/>
    </xf>
    <xf numFmtId="0" fontId="29" fillId="23" borderId="20" xfId="0" applyFont="1" applyFill="1" applyBorder="1" applyAlignment="1">
      <alignment horizontal="center" vertical="center"/>
    </xf>
    <xf numFmtId="0" fontId="29" fillId="23" borderId="21" xfId="0" applyFont="1" applyFill="1" applyBorder="1" applyAlignment="1">
      <alignment horizontal="center" vertical="center"/>
    </xf>
    <xf numFmtId="172" fontId="27" fillId="0" borderId="0" xfId="2" applyNumberFormat="1" applyFont="1" applyBorder="1" applyAlignment="1" applyProtection="1">
      <alignment wrapText="1"/>
    </xf>
    <xf numFmtId="0" fontId="29" fillId="23" borderId="34" xfId="0" applyFont="1" applyFill="1" applyBorder="1" applyAlignment="1">
      <alignment horizontal="center" vertical="center"/>
    </xf>
    <xf numFmtId="0" fontId="43" fillId="8" borderId="35" xfId="3" applyFont="1" applyFill="1" applyBorder="1" applyAlignment="1" applyProtection="1">
      <alignment horizontal="center" vertical="center" wrapText="1"/>
    </xf>
    <xf numFmtId="172" fontId="27" fillId="0" borderId="5" xfId="2" applyNumberFormat="1" applyFont="1" applyBorder="1" applyAlignment="1" applyProtection="1">
      <alignment wrapText="1"/>
    </xf>
    <xf numFmtId="172" fontId="30" fillId="0" borderId="28" xfId="0" applyNumberFormat="1" applyFont="1" applyBorder="1"/>
    <xf numFmtId="172" fontId="30" fillId="0" borderId="30" xfId="0" applyNumberFormat="1" applyFont="1" applyBorder="1"/>
    <xf numFmtId="172" fontId="26" fillId="0" borderId="35" xfId="2" applyNumberFormat="1" applyFont="1" applyBorder="1" applyAlignment="1" applyProtection="1">
      <alignment horizontal="center" wrapText="1"/>
    </xf>
    <xf numFmtId="172" fontId="26" fillId="19" borderId="35" xfId="2" applyNumberFormat="1" applyFont="1" applyFill="1" applyBorder="1" applyAlignment="1" applyProtection="1">
      <alignment horizontal="center" wrapText="1"/>
    </xf>
    <xf numFmtId="172" fontId="26" fillId="0" borderId="39" xfId="2" applyNumberFormat="1" applyFont="1" applyBorder="1" applyAlignment="1" applyProtection="1">
      <alignment horizontal="center" wrapText="1"/>
    </xf>
    <xf numFmtId="172" fontId="42" fillId="3" borderId="34" xfId="2" applyNumberFormat="1" applyFont="1" applyFill="1" applyBorder="1" applyAlignment="1" applyProtection="1">
      <alignment horizontal="center" wrapText="1"/>
    </xf>
    <xf numFmtId="172" fontId="46" fillId="0" borderId="35" xfId="0" applyNumberFormat="1" applyFont="1" applyBorder="1" applyAlignment="1">
      <alignment horizontal="center" wrapText="1"/>
    </xf>
    <xf numFmtId="172" fontId="26" fillId="7" borderId="36" xfId="0" applyNumberFormat="1" applyFont="1" applyFill="1" applyBorder="1" applyAlignment="1">
      <alignment horizontal="center" wrapText="1"/>
    </xf>
    <xf numFmtId="172" fontId="27" fillId="0" borderId="40" xfId="2" applyNumberFormat="1" applyFont="1" applyBorder="1" applyAlignment="1" applyProtection="1">
      <alignment wrapText="1"/>
    </xf>
    <xf numFmtId="172" fontId="27" fillId="0" borderId="28" xfId="2" applyNumberFormat="1" applyFont="1" applyBorder="1" applyAlignment="1" applyProtection="1">
      <alignment wrapText="1"/>
    </xf>
    <xf numFmtId="172" fontId="27" fillId="0" borderId="41" xfId="2" applyNumberFormat="1" applyFont="1" applyBorder="1" applyAlignment="1" applyProtection="1">
      <alignment wrapText="1"/>
    </xf>
    <xf numFmtId="0" fontId="29" fillId="8" borderId="9" xfId="0" applyFont="1" applyFill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 wrapText="1"/>
    </xf>
    <xf numFmtId="172" fontId="27" fillId="0" borderId="27" xfId="2" applyNumberFormat="1" applyFont="1" applyBorder="1" applyAlignment="1" applyProtection="1">
      <alignment wrapText="1"/>
    </xf>
    <xf numFmtId="9" fontId="10" fillId="0" borderId="5" xfId="2" applyFont="1" applyBorder="1"/>
    <xf numFmtId="9" fontId="10" fillId="0" borderId="29" xfId="2" applyFont="1" applyBorder="1"/>
    <xf numFmtId="9" fontId="10" fillId="0" borderId="40" xfId="2" applyFont="1" applyBorder="1"/>
    <xf numFmtId="172" fontId="30" fillId="0" borderId="41" xfId="0" applyNumberFormat="1" applyFont="1" applyBorder="1"/>
    <xf numFmtId="9" fontId="10" fillId="0" borderId="9" xfId="2" applyFont="1" applyBorder="1"/>
    <xf numFmtId="172" fontId="30" fillId="0" borderId="27" xfId="0" applyNumberFormat="1" applyFont="1" applyBorder="1"/>
    <xf numFmtId="0" fontId="49" fillId="0" borderId="0" xfId="0" applyFont="1"/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2" fontId="50" fillId="0" borderId="6" xfId="3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72" fontId="5" fillId="0" borderId="0" xfId="0" applyNumberFormat="1" applyFont="1" applyAlignment="1">
      <alignment vertical="center" wrapText="1"/>
    </xf>
    <xf numFmtId="171" fontId="5" fillId="0" borderId="0" xfId="0" applyNumberFormat="1" applyFont="1" applyAlignment="1">
      <alignment wrapText="1"/>
    </xf>
    <xf numFmtId="0" fontId="47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7" fillId="15" borderId="19" xfId="0" applyFont="1" applyFill="1" applyBorder="1" applyAlignment="1">
      <alignment horizontal="left" vertical="center"/>
    </xf>
    <xf numFmtId="0" fontId="7" fillId="15" borderId="20" xfId="0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/>
    </xf>
    <xf numFmtId="0" fontId="47" fillId="0" borderId="38" xfId="0" applyFont="1" applyBorder="1" applyAlignment="1">
      <alignment vertical="center" wrapText="1"/>
    </xf>
    <xf numFmtId="0" fontId="10" fillId="23" borderId="7" xfId="0" applyFont="1" applyFill="1" applyBorder="1" applyAlignment="1">
      <alignment wrapText="1"/>
    </xf>
    <xf numFmtId="172" fontId="7" fillId="15" borderId="1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5" fillId="23" borderId="47" xfId="0" applyFont="1" applyFill="1" applyBorder="1" applyAlignment="1">
      <alignment wrapText="1"/>
    </xf>
    <xf numFmtId="0" fontId="7" fillId="15" borderId="3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0" fillId="14" borderId="6" xfId="0" applyFill="1" applyBorder="1"/>
    <xf numFmtId="0" fontId="54" fillId="0" borderId="0" xfId="0" applyFont="1"/>
    <xf numFmtId="0" fontId="0" fillId="25" borderId="6" xfId="0" applyFill="1" applyBorder="1"/>
    <xf numFmtId="0" fontId="48" fillId="25" borderId="37" xfId="0" applyFont="1" applyFill="1" applyBorder="1" applyAlignment="1">
      <alignment vertical="center" wrapText="1"/>
    </xf>
    <xf numFmtId="0" fontId="48" fillId="25" borderId="13" xfId="0" applyFont="1" applyFill="1" applyBorder="1" applyAlignment="1">
      <alignment vertical="center" wrapText="1"/>
    </xf>
    <xf numFmtId="0" fontId="7" fillId="15" borderId="2" xfId="0" applyFont="1" applyFill="1" applyBorder="1" applyAlignment="1">
      <alignment horizontal="left" vertical="center"/>
    </xf>
    <xf numFmtId="0" fontId="10" fillId="23" borderId="19" xfId="0" applyFont="1" applyFill="1" applyBorder="1" applyAlignment="1">
      <alignment wrapText="1"/>
    </xf>
    <xf numFmtId="0" fontId="5" fillId="23" borderId="21" xfId="0" applyFont="1" applyFill="1" applyBorder="1" applyAlignment="1">
      <alignment wrapText="1"/>
    </xf>
    <xf numFmtId="0" fontId="56" fillId="0" borderId="0" xfId="0" applyFont="1"/>
    <xf numFmtId="0" fontId="57" fillId="0" borderId="0" xfId="0" applyFont="1"/>
    <xf numFmtId="164" fontId="57" fillId="0" borderId="0" xfId="0" applyNumberFormat="1" applyFont="1" applyAlignment="1">
      <alignment wrapText="1"/>
    </xf>
    <xf numFmtId="0" fontId="57" fillId="3" borderId="0" xfId="0" applyFont="1" applyFill="1"/>
    <xf numFmtId="172" fontId="40" fillId="9" borderId="6" xfId="2" applyNumberFormat="1" applyFont="1" applyFill="1" applyBorder="1"/>
    <xf numFmtId="172" fontId="40" fillId="11" borderId="6" xfId="2" applyNumberFormat="1" applyFont="1" applyFill="1" applyBorder="1"/>
    <xf numFmtId="172" fontId="55" fillId="0" borderId="0" xfId="2" applyNumberFormat="1" applyFont="1" applyBorder="1"/>
    <xf numFmtId="170" fontId="2" fillId="28" borderId="6" xfId="2" applyNumberFormat="1" applyFont="1" applyFill="1" applyBorder="1" applyProtection="1"/>
    <xf numFmtId="164" fontId="58" fillId="0" borderId="0" xfId="0" applyNumberFormat="1" applyFont="1" applyAlignment="1">
      <alignment wrapText="1"/>
    </xf>
    <xf numFmtId="0" fontId="59" fillId="0" borderId="0" xfId="0" applyFont="1" applyAlignment="1">
      <alignment horizontal="right"/>
    </xf>
    <xf numFmtId="9" fontId="40" fillId="0" borderId="6" xfId="2" applyFont="1" applyBorder="1"/>
    <xf numFmtId="174" fontId="0" fillId="0" borderId="0" xfId="8" applyNumberFormat="1" applyFont="1"/>
    <xf numFmtId="0" fontId="56" fillId="0" borderId="6" xfId="0" applyFont="1" applyBorder="1" applyAlignment="1">
      <alignment horizontal="center" vertical="center" wrapText="1"/>
    </xf>
    <xf numFmtId="0" fontId="60" fillId="9" borderId="6" xfId="0" applyFont="1" applyFill="1" applyBorder="1"/>
    <xf numFmtId="0" fontId="60" fillId="11" borderId="6" xfId="0" applyFont="1" applyFill="1" applyBorder="1"/>
    <xf numFmtId="172" fontId="56" fillId="0" borderId="6" xfId="0" applyNumberFormat="1" applyFont="1" applyBorder="1"/>
    <xf numFmtId="164" fontId="60" fillId="0" borderId="0" xfId="0" applyNumberFormat="1" applyFont="1" applyAlignment="1">
      <alignment wrapText="1"/>
    </xf>
    <xf numFmtId="0" fontId="56" fillId="0" borderId="6" xfId="0" applyFont="1" applyBorder="1"/>
    <xf numFmtId="0" fontId="60" fillId="0" borderId="6" xfId="0" applyFont="1" applyBorder="1"/>
    <xf numFmtId="171" fontId="60" fillId="0" borderId="6" xfId="0" applyNumberFormat="1" applyFont="1" applyBorder="1"/>
    <xf numFmtId="172" fontId="60" fillId="0" borderId="6" xfId="0" applyNumberFormat="1" applyFont="1" applyBorder="1"/>
    <xf numFmtId="17" fontId="0" fillId="0" borderId="0" xfId="0" applyNumberFormat="1"/>
    <xf numFmtId="172" fontId="41" fillId="0" borderId="6" xfId="2" applyNumberFormat="1" applyFont="1" applyBorder="1"/>
    <xf numFmtId="172" fontId="57" fillId="0" borderId="0" xfId="0" applyNumberFormat="1" applyFont="1"/>
    <xf numFmtId="171" fontId="57" fillId="0" borderId="0" xfId="0" applyNumberFormat="1" applyFont="1"/>
    <xf numFmtId="10" fontId="57" fillId="0" borderId="0" xfId="0" applyNumberFormat="1" applyFont="1"/>
    <xf numFmtId="0" fontId="60" fillId="0" borderId="0" xfId="0" applyFont="1"/>
    <xf numFmtId="171" fontId="40" fillId="9" borderId="6" xfId="2" applyNumberFormat="1" applyFont="1" applyFill="1" applyBorder="1"/>
    <xf numFmtId="171" fontId="40" fillId="11" borderId="6" xfId="2" applyNumberFormat="1" applyFont="1" applyFill="1" applyBorder="1"/>
    <xf numFmtId="171" fontId="56" fillId="0" borderId="6" xfId="0" applyNumberFormat="1" applyFont="1" applyBorder="1"/>
    <xf numFmtId="172" fontId="56" fillId="5" borderId="6" xfId="0" applyNumberFormat="1" applyFont="1" applyFill="1" applyBorder="1"/>
    <xf numFmtId="172" fontId="40" fillId="0" borderId="6" xfId="2" applyNumberFormat="1" applyFont="1" applyBorder="1"/>
    <xf numFmtId="0" fontId="56" fillId="5" borderId="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71" fontId="41" fillId="0" borderId="6" xfId="2" applyNumberFormat="1" applyFont="1" applyBorder="1"/>
    <xf numFmtId="164" fontId="58" fillId="0" borderId="6" xfId="0" applyNumberFormat="1" applyFont="1" applyBorder="1" applyAlignment="1">
      <alignment wrapText="1"/>
    </xf>
    <xf numFmtId="172" fontId="55" fillId="0" borderId="6" xfId="2" applyNumberFormat="1" applyFont="1" applyBorder="1"/>
    <xf numFmtId="0" fontId="61" fillId="0" borderId="0" xfId="0" applyFont="1" applyAlignment="1">
      <alignment vertical="center"/>
    </xf>
    <xf numFmtId="164" fontId="57" fillId="0" borderId="0" xfId="0" applyNumberFormat="1" applyFont="1"/>
    <xf numFmtId="0" fontId="2" fillId="0" borderId="0" xfId="0" applyFont="1"/>
    <xf numFmtId="171" fontId="55" fillId="0" borderId="0" xfId="2" applyNumberFormat="1" applyFont="1" applyBorder="1"/>
    <xf numFmtId="171" fontId="60" fillId="0" borderId="0" xfId="0" applyNumberFormat="1" applyFont="1" applyAlignment="1">
      <alignment wrapText="1"/>
    </xf>
    <xf numFmtId="171" fontId="56" fillId="0" borderId="6" xfId="0" applyNumberFormat="1" applyFont="1" applyBorder="1" applyAlignment="1">
      <alignment horizontal="center" vertical="center" wrapText="1"/>
    </xf>
    <xf numFmtId="170" fontId="1" fillId="0" borderId="6" xfId="2" applyNumberFormat="1" applyFont="1" applyBorder="1" applyProtection="1"/>
    <xf numFmtId="9" fontId="40" fillId="5" borderId="6" xfId="2" applyFont="1" applyFill="1" applyBorder="1"/>
    <xf numFmtId="0" fontId="60" fillId="0" borderId="6" xfId="0" applyFont="1" applyBorder="1" applyAlignment="1">
      <alignment wrapText="1"/>
    </xf>
    <xf numFmtId="0" fontId="16" fillId="0" borderId="0" xfId="1" applyNumberFormat="1"/>
    <xf numFmtId="0" fontId="56" fillId="9" borderId="6" xfId="0" applyFont="1" applyFill="1" applyBorder="1" applyAlignment="1">
      <alignment horizontal="center" vertical="center" wrapText="1"/>
    </xf>
    <xf numFmtId="172" fontId="40" fillId="11" borderId="6" xfId="2" applyNumberFormat="1" applyFont="1" applyFill="1" applyBorder="1" applyAlignment="1">
      <alignment horizontal="center" vertical="center"/>
    </xf>
    <xf numFmtId="10" fontId="0" fillId="0" borderId="0" xfId="0" applyNumberFormat="1"/>
    <xf numFmtId="172" fontId="42" fillId="0" borderId="4" xfId="2" applyNumberFormat="1" applyFont="1" applyBorder="1" applyAlignment="1" applyProtection="1">
      <alignment horizontal="center" vertical="center" wrapText="1"/>
    </xf>
    <xf numFmtId="0" fontId="30" fillId="19" borderId="6" xfId="0" applyFont="1" applyFill="1" applyBorder="1"/>
    <xf numFmtId="0" fontId="29" fillId="19" borderId="6" xfId="0" applyFont="1" applyFill="1" applyBorder="1" applyAlignment="1">
      <alignment horizontal="center" vertical="center" wrapText="1"/>
    </xf>
    <xf numFmtId="0" fontId="0" fillId="19" borderId="0" xfId="0" applyFill="1"/>
    <xf numFmtId="172" fontId="30" fillId="19" borderId="6" xfId="0" applyNumberFormat="1" applyFont="1" applyFill="1" applyBorder="1"/>
    <xf numFmtId="0" fontId="0" fillId="19" borderId="6" xfId="0" applyFill="1" applyBorder="1"/>
    <xf numFmtId="175" fontId="0" fillId="19" borderId="6" xfId="8" applyNumberFormat="1" applyFont="1" applyFill="1" applyBorder="1"/>
    <xf numFmtId="9" fontId="0" fillId="19" borderId="6" xfId="0" applyNumberFormat="1" applyFill="1" applyBorder="1"/>
    <xf numFmtId="17" fontId="0" fillId="19" borderId="0" xfId="0" applyNumberFormat="1" applyFill="1"/>
    <xf numFmtId="43" fontId="0" fillId="19" borderId="0" xfId="8" applyFont="1" applyFill="1"/>
    <xf numFmtId="43" fontId="0" fillId="19" borderId="0" xfId="0" applyNumberFormat="1" applyFill="1"/>
    <xf numFmtId="175" fontId="0" fillId="19" borderId="0" xfId="0" applyNumberFormat="1" applyFill="1"/>
    <xf numFmtId="175" fontId="0" fillId="19" borderId="0" xfId="8" applyNumberFormat="1" applyFont="1" applyFill="1"/>
    <xf numFmtId="0" fontId="0" fillId="10" borderId="6" xfId="0" applyFill="1" applyBorder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3" fillId="16" borderId="9" xfId="0" applyFont="1" applyFill="1" applyBorder="1"/>
    <xf numFmtId="0" fontId="63" fillId="16" borderId="42" xfId="0" applyFont="1" applyFill="1" applyBorder="1"/>
    <xf numFmtId="0" fontId="63" fillId="16" borderId="4" xfId="0" applyFont="1" applyFill="1" applyBorder="1"/>
    <xf numFmtId="0" fontId="63" fillId="16" borderId="27" xfId="0" applyFont="1" applyFill="1" applyBorder="1"/>
    <xf numFmtId="0" fontId="63" fillId="13" borderId="31" xfId="0" applyFont="1" applyFill="1" applyBorder="1"/>
    <xf numFmtId="0" fontId="63" fillId="13" borderId="32" xfId="0" applyFont="1" applyFill="1" applyBorder="1"/>
    <xf numFmtId="0" fontId="63" fillId="13" borderId="33" xfId="0" applyFont="1" applyFill="1" applyBorder="1"/>
    <xf numFmtId="0" fontId="65" fillId="12" borderId="9" xfId="0" applyFont="1" applyFill="1" applyBorder="1"/>
    <xf numFmtId="0" fontId="64" fillId="14" borderId="4" xfId="0" applyFont="1" applyFill="1" applyBorder="1" applyAlignment="1">
      <alignment wrapText="1"/>
    </xf>
    <xf numFmtId="0" fontId="63" fillId="17" borderId="27" xfId="0" applyFont="1" applyFill="1" applyBorder="1" applyAlignment="1">
      <alignment wrapText="1"/>
    </xf>
    <xf numFmtId="0" fontId="66" fillId="16" borderId="5" xfId="0" applyFont="1" applyFill="1" applyBorder="1" applyAlignment="1">
      <alignment wrapText="1"/>
    </xf>
    <xf numFmtId="0" fontId="64" fillId="16" borderId="6" xfId="0" applyFont="1" applyFill="1" applyBorder="1" applyAlignment="1">
      <alignment wrapText="1"/>
    </xf>
    <xf numFmtId="0" fontId="64" fillId="16" borderId="28" xfId="0" applyFont="1" applyFill="1" applyBorder="1" applyAlignment="1">
      <alignment wrapText="1"/>
    </xf>
    <xf numFmtId="0" fontId="66" fillId="13" borderId="5" xfId="0" applyFont="1" applyFill="1" applyBorder="1" applyAlignment="1">
      <alignment wrapText="1"/>
    </xf>
    <xf numFmtId="0" fontId="64" fillId="13" borderId="6" xfId="0" applyFont="1" applyFill="1" applyBorder="1" applyAlignment="1">
      <alignment wrapText="1"/>
    </xf>
    <xf numFmtId="0" fontId="64" fillId="13" borderId="28" xfId="0" applyFont="1" applyFill="1" applyBorder="1" applyAlignment="1">
      <alignment wrapText="1"/>
    </xf>
    <xf numFmtId="172" fontId="63" fillId="0" borderId="7" xfId="0" applyNumberFormat="1" applyFont="1" applyBorder="1"/>
    <xf numFmtId="172" fontId="63" fillId="5" borderId="7" xfId="0" applyNumberFormat="1" applyFont="1" applyFill="1" applyBorder="1"/>
    <xf numFmtId="0" fontId="64" fillId="0" borderId="34" xfId="0" applyFont="1" applyBorder="1"/>
    <xf numFmtId="172" fontId="63" fillId="0" borderId="5" xfId="0" applyNumberFormat="1" applyFont="1" applyBorder="1"/>
    <xf numFmtId="172" fontId="64" fillId="0" borderId="6" xfId="0" applyNumberFormat="1" applyFont="1" applyBorder="1"/>
    <xf numFmtId="172" fontId="63" fillId="3" borderId="28" xfId="2" applyNumberFormat="1" applyFont="1" applyFill="1" applyBorder="1" applyAlignment="1" applyProtection="1">
      <alignment wrapText="1"/>
    </xf>
    <xf numFmtId="172" fontId="66" fillId="3" borderId="5" xfId="2" applyNumberFormat="1" applyFont="1" applyFill="1" applyBorder="1" applyAlignment="1" applyProtection="1">
      <alignment wrapText="1"/>
    </xf>
    <xf numFmtId="172" fontId="66" fillId="3" borderId="12" xfId="2" applyNumberFormat="1" applyFont="1" applyFill="1" applyBorder="1" applyAlignment="1" applyProtection="1">
      <alignment wrapText="1"/>
    </xf>
    <xf numFmtId="172" fontId="64" fillId="3" borderId="6" xfId="2" applyNumberFormat="1" applyFont="1" applyFill="1" applyBorder="1" applyAlignment="1" applyProtection="1">
      <alignment wrapText="1"/>
    </xf>
    <xf numFmtId="172" fontId="64" fillId="3" borderId="28" xfId="2" applyNumberFormat="1" applyFont="1" applyFill="1" applyBorder="1" applyAlignment="1" applyProtection="1">
      <alignment wrapText="1"/>
    </xf>
    <xf numFmtId="0" fontId="64" fillId="0" borderId="35" xfId="0" applyFont="1" applyBorder="1"/>
    <xf numFmtId="0" fontId="63" fillId="0" borderId="36" xfId="0" applyFont="1" applyBorder="1" applyAlignment="1">
      <alignment wrapText="1"/>
    </xf>
    <xf numFmtId="172" fontId="63" fillId="0" borderId="29" xfId="0" applyNumberFormat="1" applyFont="1" applyBorder="1"/>
    <xf numFmtId="172" fontId="64" fillId="0" borderId="25" xfId="0" applyNumberFormat="1" applyFont="1" applyBorder="1"/>
    <xf numFmtId="172" fontId="63" fillId="0" borderId="30" xfId="0" applyNumberFormat="1" applyFont="1" applyBorder="1"/>
    <xf numFmtId="172" fontId="66" fillId="3" borderId="29" xfId="2" applyNumberFormat="1" applyFont="1" applyFill="1" applyBorder="1" applyAlignment="1" applyProtection="1">
      <alignment wrapText="1"/>
    </xf>
    <xf numFmtId="172" fontId="66" fillId="3" borderId="43" xfId="2" applyNumberFormat="1" applyFont="1" applyFill="1" applyBorder="1" applyAlignment="1" applyProtection="1">
      <alignment wrapText="1"/>
    </xf>
    <xf numFmtId="172" fontId="64" fillId="0" borderId="30" xfId="0" applyNumberFormat="1" applyFont="1" applyBorder="1"/>
    <xf numFmtId="0" fontId="67" fillId="25" borderId="36" xfId="0" applyFont="1" applyFill="1" applyBorder="1" applyAlignment="1">
      <alignment wrapText="1"/>
    </xf>
    <xf numFmtId="172" fontId="67" fillId="25" borderId="29" xfId="0" applyNumberFormat="1" applyFont="1" applyFill="1" applyBorder="1"/>
    <xf numFmtId="172" fontId="66" fillId="25" borderId="25" xfId="0" applyNumberFormat="1" applyFont="1" applyFill="1" applyBorder="1"/>
    <xf numFmtId="172" fontId="67" fillId="25" borderId="30" xfId="0" applyNumberFormat="1" applyFont="1" applyFill="1" applyBorder="1"/>
    <xf numFmtId="172" fontId="66" fillId="27" borderId="29" xfId="2" applyNumberFormat="1" applyFont="1" applyFill="1" applyBorder="1" applyAlignment="1" applyProtection="1">
      <alignment wrapText="1"/>
    </xf>
    <xf numFmtId="172" fontId="66" fillId="27" borderId="43" xfId="2" applyNumberFormat="1" applyFont="1" applyFill="1" applyBorder="1" applyAlignment="1" applyProtection="1">
      <alignment wrapText="1"/>
    </xf>
    <xf numFmtId="172" fontId="66" fillId="25" borderId="30" xfId="0" applyNumberFormat="1" applyFont="1" applyFill="1" applyBorder="1"/>
    <xf numFmtId="0" fontId="66" fillId="0" borderId="0" xfId="0" applyFont="1"/>
    <xf numFmtId="0" fontId="63" fillId="0" borderId="14" xfId="0" applyFont="1" applyBorder="1"/>
    <xf numFmtId="0" fontId="68" fillId="0" borderId="34" xfId="0" applyFont="1" applyBorder="1" applyAlignment="1">
      <alignment horizontal="left" vertical="center" wrapText="1"/>
    </xf>
    <xf numFmtId="172" fontId="63" fillId="11" borderId="9" xfId="0" applyNumberFormat="1" applyFont="1" applyFill="1" applyBorder="1"/>
    <xf numFmtId="172" fontId="64" fillId="11" borderId="4" xfId="0" applyNumberFormat="1" applyFont="1" applyFill="1" applyBorder="1"/>
    <xf numFmtId="0" fontId="68" fillId="0" borderId="36" xfId="0" applyFont="1" applyBorder="1" applyAlignment="1">
      <alignment horizontal="left" vertical="center" wrapText="1"/>
    </xf>
    <xf numFmtId="172" fontId="63" fillId="11" borderId="29" xfId="0" applyNumberFormat="1" applyFont="1" applyFill="1" applyBorder="1"/>
    <xf numFmtId="172" fontId="64" fillId="11" borderId="25" xfId="0" applyNumberFormat="1" applyFont="1" applyFill="1" applyBorder="1"/>
    <xf numFmtId="172" fontId="63" fillId="11" borderId="5" xfId="0" applyNumberFormat="1" applyFont="1" applyFill="1" applyBorder="1"/>
    <xf numFmtId="172" fontId="64" fillId="11" borderId="6" xfId="0" applyNumberFormat="1" applyFont="1" applyFill="1" applyBorder="1"/>
    <xf numFmtId="172" fontId="63" fillId="11" borderId="6" xfId="0" applyNumberFormat="1" applyFont="1" applyFill="1" applyBorder="1"/>
    <xf numFmtId="172" fontId="66" fillId="15" borderId="12" xfId="2" applyNumberFormat="1" applyFont="1" applyFill="1" applyBorder="1" applyAlignment="1" applyProtection="1">
      <alignment wrapText="1"/>
    </xf>
    <xf numFmtId="172" fontId="64" fillId="15" borderId="6" xfId="2" applyNumberFormat="1" applyFont="1" applyFill="1" applyBorder="1" applyAlignment="1" applyProtection="1">
      <alignment wrapText="1"/>
    </xf>
    <xf numFmtId="172" fontId="64" fillId="15" borderId="28" xfId="2" applyNumberFormat="1" applyFont="1" applyFill="1" applyBorder="1" applyAlignment="1" applyProtection="1">
      <alignment wrapText="1"/>
    </xf>
    <xf numFmtId="172" fontId="64" fillId="15" borderId="12" xfId="2" applyNumberFormat="1" applyFont="1" applyFill="1" applyBorder="1" applyAlignment="1" applyProtection="1">
      <alignment wrapText="1"/>
    </xf>
    <xf numFmtId="0" fontId="63" fillId="0" borderId="26" xfId="0" applyFont="1" applyBorder="1"/>
    <xf numFmtId="165" fontId="3" fillId="0" borderId="0" xfId="0" applyNumberFormat="1" applyFont="1" applyAlignment="1">
      <alignment horizontal="center" vertical="center" wrapText="1"/>
    </xf>
    <xf numFmtId="172" fontId="66" fillId="5" borderId="30" xfId="0" applyNumberFormat="1" applyFont="1" applyFill="1" applyBorder="1"/>
    <xf numFmtId="0" fontId="66" fillId="16" borderId="12" xfId="0" applyFont="1" applyFill="1" applyBorder="1" applyAlignment="1">
      <alignment wrapText="1"/>
    </xf>
    <xf numFmtId="0" fontId="66" fillId="13" borderId="12" xfId="0" applyFont="1" applyFill="1" applyBorder="1" applyAlignment="1">
      <alignment wrapText="1"/>
    </xf>
    <xf numFmtId="0" fontId="56" fillId="0" borderId="0" xfId="0" applyFont="1" applyAlignment="1">
      <alignment horizontal="center" vertical="center" wrapText="1"/>
    </xf>
    <xf numFmtId="171" fontId="40" fillId="0" borderId="0" xfId="2" applyNumberFormat="1" applyFont="1" applyBorder="1"/>
    <xf numFmtId="171" fontId="41" fillId="0" borderId="0" xfId="2" applyNumberFormat="1" applyFont="1" applyBorder="1"/>
    <xf numFmtId="171" fontId="56" fillId="0" borderId="0" xfId="0" applyNumberFormat="1" applyFont="1"/>
    <xf numFmtId="164" fontId="52" fillId="23" borderId="48" xfId="0" applyNumberFormat="1" applyFont="1" applyFill="1" applyBorder="1" applyAlignment="1">
      <alignment horizontal="center" vertical="center" wrapText="1"/>
    </xf>
    <xf numFmtId="172" fontId="69" fillId="0" borderId="6" xfId="0" applyNumberFormat="1" applyFont="1" applyBorder="1" applyAlignment="1">
      <alignment horizontal="center" wrapText="1"/>
    </xf>
    <xf numFmtId="172" fontId="70" fillId="0" borderId="6" xfId="0" applyNumberFormat="1" applyFont="1" applyBorder="1"/>
    <xf numFmtId="172" fontId="69" fillId="0" borderId="6" xfId="0" applyNumberFormat="1" applyFont="1" applyBorder="1" applyAlignment="1">
      <alignment horizontal="center" vertical="center" wrapText="1"/>
    </xf>
    <xf numFmtId="172" fontId="69" fillId="0" borderId="17" xfId="0" applyNumberFormat="1" applyFont="1" applyBorder="1" applyAlignment="1">
      <alignment horizontal="center" wrapText="1"/>
    </xf>
    <xf numFmtId="172" fontId="70" fillId="0" borderId="17" xfId="0" applyNumberFormat="1" applyFont="1" applyBorder="1"/>
    <xf numFmtId="164" fontId="52" fillId="23" borderId="46" xfId="0" applyNumberFormat="1" applyFont="1" applyFill="1" applyBorder="1" applyAlignment="1">
      <alignment horizontal="center" vertical="center" wrapText="1"/>
    </xf>
    <xf numFmtId="0" fontId="48" fillId="14" borderId="11" xfId="0" applyFont="1" applyFill="1" applyBorder="1" applyAlignment="1">
      <alignment vertical="center" wrapText="1"/>
    </xf>
    <xf numFmtId="0" fontId="48" fillId="14" borderId="13" xfId="0" applyFont="1" applyFill="1" applyBorder="1" applyAlignment="1">
      <alignment vertical="center" wrapText="1"/>
    </xf>
    <xf numFmtId="0" fontId="48" fillId="20" borderId="13" xfId="0" applyFont="1" applyFill="1" applyBorder="1" applyAlignment="1">
      <alignment horizontal="left" vertical="center" wrapText="1"/>
    </xf>
    <xf numFmtId="164" fontId="48" fillId="23" borderId="51" xfId="0" applyNumberFormat="1" applyFont="1" applyFill="1" applyBorder="1" applyAlignment="1">
      <alignment horizontal="center" vertical="center" wrapText="1"/>
    </xf>
    <xf numFmtId="164" fontId="5" fillId="13" borderId="46" xfId="0" applyNumberFormat="1" applyFont="1" applyFill="1" applyBorder="1" applyAlignment="1">
      <alignment horizontal="center" vertical="center" wrapText="1"/>
    </xf>
    <xf numFmtId="172" fontId="50" fillId="13" borderId="6" xfId="3" applyNumberFormat="1" applyFont="1" applyFill="1" applyBorder="1" applyAlignment="1">
      <alignment horizontal="center" vertical="center"/>
    </xf>
    <xf numFmtId="172" fontId="51" fillId="0" borderId="6" xfId="0" applyNumberFormat="1" applyFont="1" applyBorder="1" applyAlignment="1">
      <alignment horizontal="center" wrapText="1"/>
    </xf>
    <xf numFmtId="172" fontId="50" fillId="0" borderId="6" xfId="0" applyNumberFormat="1" applyFont="1" applyBorder="1" applyAlignment="1">
      <alignment horizontal="center" vertical="center" wrapText="1"/>
    </xf>
    <xf numFmtId="172" fontId="51" fillId="0" borderId="6" xfId="0" applyNumberFormat="1" applyFont="1" applyBorder="1" applyAlignment="1">
      <alignment horizontal="center" vertical="center" wrapText="1"/>
    </xf>
    <xf numFmtId="0" fontId="5" fillId="23" borderId="48" xfId="0" applyFont="1" applyFill="1" applyBorder="1" applyAlignment="1">
      <alignment wrapText="1"/>
    </xf>
    <xf numFmtId="0" fontId="48" fillId="10" borderId="13" xfId="0" applyFont="1" applyFill="1" applyBorder="1" applyAlignment="1">
      <alignment vertical="center" wrapText="1"/>
    </xf>
    <xf numFmtId="172" fontId="71" fillId="0" borderId="6" xfId="3" applyNumberFormat="1" applyFont="1" applyBorder="1" applyAlignment="1">
      <alignment horizontal="center" vertical="center"/>
    </xf>
    <xf numFmtId="172" fontId="50" fillId="0" borderId="6" xfId="3" applyNumberFormat="1" applyFont="1" applyBorder="1" applyAlignment="1">
      <alignment horizontal="center"/>
    </xf>
    <xf numFmtId="172" fontId="50" fillId="13" borderId="6" xfId="3" applyNumberFormat="1" applyFont="1" applyFill="1" applyBorder="1" applyAlignment="1">
      <alignment horizontal="center"/>
    </xf>
    <xf numFmtId="172" fontId="53" fillId="0" borderId="6" xfId="3" applyNumberFormat="1" applyFont="1" applyBorder="1" applyAlignment="1">
      <alignment horizontal="center"/>
    </xf>
    <xf numFmtId="172" fontId="53" fillId="0" borderId="6" xfId="0" applyNumberFormat="1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48" fillId="25" borderId="50" xfId="0" applyFont="1" applyFill="1" applyBorder="1" applyAlignment="1">
      <alignment vertical="center" wrapText="1"/>
    </xf>
    <xf numFmtId="172" fontId="50" fillId="0" borderId="17" xfId="3" applyNumberFormat="1" applyFont="1" applyBorder="1" applyAlignment="1">
      <alignment horizontal="center"/>
    </xf>
    <xf numFmtId="172" fontId="50" fillId="13" borderId="17" xfId="3" applyNumberFormat="1" applyFont="1" applyFill="1" applyBorder="1" applyAlignment="1">
      <alignment horizontal="center"/>
    </xf>
    <xf numFmtId="172" fontId="53" fillId="0" borderId="17" xfId="3" applyNumberFormat="1" applyFont="1" applyBorder="1" applyAlignment="1">
      <alignment horizontal="center"/>
    </xf>
    <xf numFmtId="172" fontId="53" fillId="0" borderId="17" xfId="0" applyNumberFormat="1" applyFont="1" applyBorder="1" applyAlignment="1">
      <alignment horizontal="center" wrapText="1"/>
    </xf>
    <xf numFmtId="172" fontId="51" fillId="0" borderId="17" xfId="0" applyNumberFormat="1" applyFont="1" applyBorder="1" applyAlignment="1">
      <alignment horizontal="center" wrapText="1"/>
    </xf>
    <xf numFmtId="172" fontId="7" fillId="15" borderId="8" xfId="0" applyNumberFormat="1" applyFont="1" applyFill="1" applyBorder="1" applyAlignment="1">
      <alignment horizontal="center" vertical="center"/>
    </xf>
    <xf numFmtId="172" fontId="7" fillId="26" borderId="8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wrapText="1"/>
    </xf>
    <xf numFmtId="0" fontId="48" fillId="10" borderId="50" xfId="0" applyFont="1" applyFill="1" applyBorder="1" applyAlignment="1">
      <alignment vertical="center" wrapText="1"/>
    </xf>
    <xf numFmtId="172" fontId="50" fillId="0" borderId="17" xfId="3" applyNumberFormat="1" applyFont="1" applyBorder="1" applyAlignment="1">
      <alignment horizontal="center" vertical="center"/>
    </xf>
    <xf numFmtId="172" fontId="50" fillId="13" borderId="17" xfId="3" applyNumberFormat="1" applyFont="1" applyFill="1" applyBorder="1" applyAlignment="1">
      <alignment horizontal="center" vertical="center"/>
    </xf>
    <xf numFmtId="172" fontId="71" fillId="0" borderId="17" xfId="3" applyNumberFormat="1" applyFont="1" applyBorder="1" applyAlignment="1">
      <alignment horizontal="center" vertical="center"/>
    </xf>
    <xf numFmtId="172" fontId="38" fillId="15" borderId="8" xfId="0" applyNumberFormat="1" applyFont="1" applyFill="1" applyBorder="1" applyAlignment="1">
      <alignment horizontal="center" vertical="center"/>
    </xf>
    <xf numFmtId="0" fontId="47" fillId="0" borderId="40" xfId="0" applyFont="1" applyBorder="1" applyAlignment="1">
      <alignment vertical="center" wrapText="1"/>
    </xf>
    <xf numFmtId="0" fontId="48" fillId="20" borderId="50" xfId="0" applyFont="1" applyFill="1" applyBorder="1" applyAlignment="1">
      <alignment horizontal="left" vertical="center" wrapText="1"/>
    </xf>
    <xf numFmtId="172" fontId="50" fillId="0" borderId="17" xfId="0" applyNumberFormat="1" applyFont="1" applyBorder="1" applyAlignment="1">
      <alignment horizontal="center" vertical="center" wrapText="1"/>
    </xf>
    <xf numFmtId="172" fontId="38" fillId="26" borderId="8" xfId="0" applyNumberFormat="1" applyFont="1" applyFill="1" applyBorder="1" applyAlignment="1">
      <alignment horizontal="center" vertical="center"/>
    </xf>
    <xf numFmtId="172" fontId="20" fillId="11" borderId="15" xfId="0" applyNumberFormat="1" applyFont="1" applyFill="1" applyBorder="1"/>
    <xf numFmtId="164" fontId="72" fillId="23" borderId="48" xfId="0" applyNumberFormat="1" applyFont="1" applyFill="1" applyBorder="1" applyAlignment="1">
      <alignment horizontal="center" vertical="center" wrapText="1"/>
    </xf>
    <xf numFmtId="164" fontId="72" fillId="23" borderId="49" xfId="0" applyNumberFormat="1" applyFont="1" applyFill="1" applyBorder="1" applyAlignment="1">
      <alignment horizontal="center" vertical="center" wrapText="1"/>
    </xf>
    <xf numFmtId="164" fontId="72" fillId="23" borderId="46" xfId="0" applyNumberFormat="1" applyFont="1" applyFill="1" applyBorder="1" applyAlignment="1">
      <alignment horizontal="center" vertical="center" wrapText="1"/>
    </xf>
    <xf numFmtId="0" fontId="0" fillId="11" borderId="21" xfId="0" applyFill="1" applyBorder="1"/>
    <xf numFmtId="0" fontId="38" fillId="24" borderId="31" xfId="0" applyFont="1" applyFill="1" applyBorder="1" applyAlignment="1">
      <alignment horizontal="left" vertical="center"/>
    </xf>
    <xf numFmtId="0" fontId="38" fillId="24" borderId="31" xfId="0" applyFont="1" applyFill="1" applyBorder="1" applyAlignment="1">
      <alignment horizontal="center" vertical="center"/>
    </xf>
    <xf numFmtId="172" fontId="38" fillId="24" borderId="4" xfId="0" applyNumberFormat="1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left" vertical="center"/>
    </xf>
    <xf numFmtId="0" fontId="20" fillId="9" borderId="45" xfId="0" applyFont="1" applyFill="1" applyBorder="1" applyAlignment="1">
      <alignment wrapText="1"/>
    </xf>
    <xf numFmtId="172" fontId="20" fillId="9" borderId="25" xfId="0" applyNumberFormat="1" applyFont="1" applyFill="1" applyBorder="1" applyAlignment="1">
      <alignment horizontal="center" wrapText="1"/>
    </xf>
    <xf numFmtId="172" fontId="20" fillId="9" borderId="27" xfId="0" applyNumberFormat="1" applyFont="1" applyFill="1" applyBorder="1" applyAlignment="1">
      <alignment wrapText="1"/>
    </xf>
    <xf numFmtId="172" fontId="20" fillId="9" borderId="30" xfId="0" applyNumberFormat="1" applyFont="1" applyFill="1" applyBorder="1" applyAlignment="1">
      <alignment wrapText="1"/>
    </xf>
    <xf numFmtId="10" fontId="16" fillId="0" borderId="0" xfId="2" applyNumberFormat="1"/>
    <xf numFmtId="165" fontId="3" fillId="0" borderId="0" xfId="0" applyNumberFormat="1" applyFont="1" applyAlignment="1">
      <alignment horizontal="center" vertical="center" wrapText="1"/>
    </xf>
    <xf numFmtId="0" fontId="36" fillId="22" borderId="19" xfId="0" applyFont="1" applyFill="1" applyBorder="1" applyAlignment="1">
      <alignment horizontal="center" vertical="center"/>
    </xf>
    <xf numFmtId="0" fontId="36" fillId="22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</cellXfs>
  <cellStyles count="9">
    <cellStyle name="Hyperlink" xfId="7" xr:uid="{00000000-0005-0000-0000-000000000000}"/>
    <cellStyle name="Lien hypertexte" xfId="3" builtinId="8"/>
    <cellStyle name="Milliers" xfId="8" builtinId="3"/>
    <cellStyle name="Monétaire" xfId="1" builtinId="4"/>
    <cellStyle name="Normal" xfId="0" builtinId="0"/>
    <cellStyle name="Normal 2" xfId="5" xr:uid="{00000000-0005-0000-0000-000004000000}"/>
    <cellStyle name="Pourcentage" xfId="2" builtinId="5"/>
    <cellStyle name="Pourcentage 2" xfId="6" xr:uid="{00000000-0005-0000-0000-000006000000}"/>
    <cellStyle name="TableStyleLight1" xfId="4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53735"/>
      <rgbColor rgb="FFEEECE1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538DD5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</xdr:colOff>
      <xdr:row>0</xdr:row>
      <xdr:rowOff>127635</xdr:rowOff>
    </xdr:from>
    <xdr:to>
      <xdr:col>1</xdr:col>
      <xdr:colOff>715831</xdr:colOff>
      <xdr:row>7</xdr:row>
      <xdr:rowOff>7620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1445" y="859155"/>
          <a:ext cx="1369246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B1:ALS46"/>
  <sheetViews>
    <sheetView tabSelected="1" zoomScaleNormal="100" workbookViewId="0">
      <selection activeCell="C1" sqref="C1"/>
    </sheetView>
  </sheetViews>
  <sheetFormatPr baseColWidth="10" defaultColWidth="9.109375" defaultRowHeight="14.4" x14ac:dyDescent="0.3"/>
  <cols>
    <col min="1" max="1" width="11.44140625" customWidth="1"/>
    <col min="2" max="2" width="11.6640625" customWidth="1"/>
    <col min="3" max="3" width="33.77734375" customWidth="1"/>
    <col min="4" max="4" width="45.5546875" style="1" bestFit="1" customWidth="1"/>
    <col min="5" max="7" width="12.109375" style="62" customWidth="1"/>
    <col min="8" max="8" width="10.5546875" style="62" customWidth="1"/>
    <col min="9" max="9" width="10.6640625" style="2" customWidth="1"/>
    <col min="10" max="10" width="11.88671875" style="2" customWidth="1"/>
    <col min="11" max="11" width="11.88671875" style="4" customWidth="1"/>
    <col min="12" max="12" width="20.33203125" style="5" customWidth="1"/>
    <col min="13" max="13" width="9.109375" style="5"/>
    <col min="14" max="14" width="9.109375" style="6"/>
    <col min="15" max="15" width="9.109375" style="1"/>
    <col min="16" max="16" width="9.109375" style="3"/>
    <col min="17" max="17" width="9.109375" style="7"/>
    <col min="18" max="1007" width="9.109375" style="1"/>
  </cols>
  <sheetData>
    <row r="1" spans="3:1007" s="9" customFormat="1" x14ac:dyDescent="0.3">
      <c r="C1" s="236" t="s">
        <v>325</v>
      </c>
      <c r="E1" s="63"/>
      <c r="F1" s="63"/>
      <c r="G1" s="63"/>
      <c r="H1" s="63"/>
      <c r="K1" s="11"/>
      <c r="L1" s="12"/>
      <c r="M1" s="12"/>
      <c r="N1" s="13"/>
      <c r="P1" s="10"/>
      <c r="Q1" s="14"/>
    </row>
    <row r="2" spans="3:1007" ht="15" thickBot="1" x14ac:dyDescent="0.35">
      <c r="D2" s="452"/>
      <c r="E2" s="452"/>
      <c r="F2" s="452"/>
      <c r="G2" s="452"/>
      <c r="H2" s="452"/>
      <c r="I2" s="452"/>
      <c r="J2" s="388"/>
      <c r="K2" s="11"/>
      <c r="L2" s="12"/>
      <c r="M2" s="12"/>
      <c r="N2" s="13"/>
      <c r="O2"/>
      <c r="P2" s="10"/>
      <c r="Q2" s="1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</row>
    <row r="3" spans="3:1007" ht="15" thickBot="1" x14ac:dyDescent="0.35">
      <c r="C3" s="237" t="s">
        <v>334</v>
      </c>
      <c r="D3" s="238"/>
      <c r="E3" s="238"/>
      <c r="F3" s="238"/>
      <c r="G3" s="238"/>
      <c r="H3" s="238"/>
      <c r="I3" s="238"/>
      <c r="J3" s="238"/>
      <c r="K3" s="239"/>
      <c r="L3" s="12"/>
      <c r="M3" s="12"/>
      <c r="N3" s="13"/>
      <c r="O3"/>
      <c r="P3" s="10"/>
      <c r="Q3" s="1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</row>
    <row r="4" spans="3:1007" ht="15" thickBot="1" x14ac:dyDescent="0.35">
      <c r="C4" s="261" t="s">
        <v>237</v>
      </c>
      <c r="D4" s="254"/>
      <c r="E4" s="247"/>
      <c r="F4" s="247"/>
      <c r="G4" s="247"/>
      <c r="H4" s="247"/>
      <c r="I4" s="247"/>
      <c r="J4" s="247"/>
      <c r="K4" s="248"/>
      <c r="L4" s="12"/>
      <c r="M4" s="12"/>
      <c r="N4" s="13"/>
      <c r="O4"/>
      <c r="P4" s="10"/>
      <c r="Q4" s="1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</row>
    <row r="5" spans="3:1007" ht="42" thickBot="1" x14ac:dyDescent="0.35">
      <c r="C5" s="262"/>
      <c r="D5" s="263"/>
      <c r="E5" s="406" t="s">
        <v>323</v>
      </c>
      <c r="F5" s="407" t="s">
        <v>257</v>
      </c>
      <c r="G5" s="402" t="s">
        <v>239</v>
      </c>
      <c r="H5" s="396" t="s">
        <v>240</v>
      </c>
      <c r="I5" s="441" t="s">
        <v>324</v>
      </c>
      <c r="J5" s="439" t="s">
        <v>335</v>
      </c>
      <c r="K5" s="440" t="s">
        <v>336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</row>
    <row r="6" spans="3:1007" x14ac:dyDescent="0.3">
      <c r="C6" s="249" t="s">
        <v>302</v>
      </c>
      <c r="D6" s="403" t="s">
        <v>0</v>
      </c>
      <c r="E6" s="240">
        <v>575494</v>
      </c>
      <c r="F6" s="408">
        <f>'COUT PAR IP DES OUTILS'!B28</f>
        <v>581295.78270193015</v>
      </c>
      <c r="G6" s="240">
        <f t="shared" ref="G6:G13" si="0">F6-H6</f>
        <v>441784.79485346691</v>
      </c>
      <c r="H6" s="240">
        <f>'COUT PAR IP DES OUTILS'!B27</f>
        <v>139510.98784846321</v>
      </c>
      <c r="I6" s="409">
        <f t="shared" ref="I6:I13" si="1">F6-E6</f>
        <v>5801.7827019301476</v>
      </c>
      <c r="J6" s="397">
        <f>'IRI FR VT'!D29</f>
        <v>597583.11937097949</v>
      </c>
      <c r="K6" s="398">
        <f>J6-F6</f>
        <v>16287.336669049342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3:1007" x14ac:dyDescent="0.3">
      <c r="C7" s="249" t="s">
        <v>302</v>
      </c>
      <c r="D7" s="404" t="s">
        <v>1</v>
      </c>
      <c r="E7" s="240">
        <v>39349</v>
      </c>
      <c r="F7" s="408">
        <f>'COUT PAR IP DES OUTILS'!C28</f>
        <v>39745.932809149388</v>
      </c>
      <c r="G7" s="240">
        <f t="shared" si="0"/>
        <v>29411.990278770543</v>
      </c>
      <c r="H7" s="240">
        <f>'COUT PAR IP DES OUTILS'!C27</f>
        <v>10333.942530378843</v>
      </c>
      <c r="I7" s="409">
        <f t="shared" si="1"/>
        <v>396.93280914938805</v>
      </c>
      <c r="J7" s="397">
        <f>'IRI FR EFF'!D29</f>
        <v>39745.932809149388</v>
      </c>
      <c r="K7" s="398">
        <f t="shared" ref="K7:K14" si="2">J7-F7</f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</row>
    <row r="8" spans="3:1007" x14ac:dyDescent="0.3">
      <c r="C8" s="249" t="s">
        <v>303</v>
      </c>
      <c r="D8" s="260" t="s">
        <v>2</v>
      </c>
      <c r="E8" s="240">
        <v>103000</v>
      </c>
      <c r="F8" s="408">
        <f>'COUT PAR IP DES OUTILS'!E28</f>
        <v>90000</v>
      </c>
      <c r="G8" s="240">
        <f t="shared" si="0"/>
        <v>45000</v>
      </c>
      <c r="H8" s="410">
        <f>'COUT PAR IP DES OUTILS'!E27</f>
        <v>45000</v>
      </c>
      <c r="I8" s="409">
        <f t="shared" si="1"/>
        <v>-13000</v>
      </c>
      <c r="J8" s="397">
        <f>'Panel CHR'!B29</f>
        <v>90000</v>
      </c>
      <c r="K8" s="398">
        <f t="shared" si="2"/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</row>
    <row r="9" spans="3:1007" x14ac:dyDescent="0.3">
      <c r="C9" s="244" t="s">
        <v>328</v>
      </c>
      <c r="D9" s="260" t="s">
        <v>188</v>
      </c>
      <c r="E9" s="240">
        <v>0</v>
      </c>
      <c r="F9" s="408">
        <f>'COUT PAR IP DES OUTILS'!I28</f>
        <v>0</v>
      </c>
      <c r="G9" s="240">
        <f t="shared" si="0"/>
        <v>0</v>
      </c>
      <c r="H9" s="410">
        <f>'COUT PAR IP DES OUTILS'!I27</f>
        <v>0</v>
      </c>
      <c r="I9" s="409">
        <f t="shared" si="1"/>
        <v>0</v>
      </c>
      <c r="J9" s="397">
        <v>0</v>
      </c>
      <c r="K9" s="398">
        <f t="shared" si="2"/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</row>
    <row r="10" spans="3:1007" ht="27.6" x14ac:dyDescent="0.3">
      <c r="C10" s="245" t="s">
        <v>265</v>
      </c>
      <c r="D10" s="260" t="s">
        <v>174</v>
      </c>
      <c r="E10" s="240">
        <v>47800</v>
      </c>
      <c r="F10" s="408">
        <f>'COUT PAR IP DES OUTILS'!H28</f>
        <v>41666.666666666679</v>
      </c>
      <c r="G10" s="240">
        <f t="shared" si="0"/>
        <v>20833.333333333343</v>
      </c>
      <c r="H10" s="410">
        <f>'COUT PAR IP DES OUTILS'!H27</f>
        <v>20833.333333333336</v>
      </c>
      <c r="I10" s="411">
        <f t="shared" si="1"/>
        <v>-6133.3333333333212</v>
      </c>
      <c r="J10" s="399">
        <f>'RO e-commerce'!B29</f>
        <v>41666.666666666679</v>
      </c>
      <c r="K10" s="398">
        <f t="shared" si="2"/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</row>
    <row r="11" spans="3:1007" x14ac:dyDescent="0.3">
      <c r="C11" s="244" t="s">
        <v>175</v>
      </c>
      <c r="D11" s="404" t="s">
        <v>3</v>
      </c>
      <c r="E11" s="240">
        <v>210000</v>
      </c>
      <c r="F11" s="408">
        <f>'COUT PAR IP DES OUTILS'!D28</f>
        <v>214800</v>
      </c>
      <c r="G11" s="240">
        <f t="shared" si="0"/>
        <v>107400</v>
      </c>
      <c r="H11" s="410">
        <f>'COUT PAR IP DES OUTILS'!D27</f>
        <v>107400</v>
      </c>
      <c r="I11" s="409">
        <f t="shared" si="1"/>
        <v>4800</v>
      </c>
      <c r="J11" s="397">
        <f>KANTAR!D29</f>
        <v>214800</v>
      </c>
      <c r="K11" s="398">
        <f t="shared" si="2"/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</row>
    <row r="12" spans="3:1007" x14ac:dyDescent="0.3">
      <c r="C12" s="244" t="s">
        <v>254</v>
      </c>
      <c r="D12" s="405" t="s">
        <v>225</v>
      </c>
      <c r="E12" s="240">
        <v>35000</v>
      </c>
      <c r="F12" s="408">
        <f>'COUT PAR IP DES OUTILS'!J28</f>
        <v>35000</v>
      </c>
      <c r="G12" s="240">
        <f t="shared" si="0"/>
        <v>35000</v>
      </c>
      <c r="H12" s="410">
        <f>'COUT PAR IP DES OUTILS'!J27</f>
        <v>0</v>
      </c>
      <c r="I12" s="409">
        <f t="shared" si="1"/>
        <v>0</v>
      </c>
      <c r="J12" s="397">
        <f>'OUTIL RO'!B29</f>
        <v>35000</v>
      </c>
      <c r="K12" s="398">
        <f t="shared" si="2"/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</row>
    <row r="13" spans="3:1007" ht="15" thickBot="1" x14ac:dyDescent="0.35">
      <c r="C13" s="434" t="s">
        <v>254</v>
      </c>
      <c r="D13" s="435" t="s">
        <v>266</v>
      </c>
      <c r="E13" s="430">
        <v>15000</v>
      </c>
      <c r="F13" s="431">
        <f>'COUT PAR IP DES OUTILS'!K28</f>
        <v>15000</v>
      </c>
      <c r="G13" s="430">
        <f t="shared" si="0"/>
        <v>15000</v>
      </c>
      <c r="H13" s="436">
        <f>'COUT PAR IP DES OUTILS'!K27</f>
        <v>0</v>
      </c>
      <c r="I13" s="425">
        <f t="shared" si="1"/>
        <v>0</v>
      </c>
      <c r="J13" s="400">
        <f>CAVISTES!B29</f>
        <v>15000</v>
      </c>
      <c r="K13" s="401">
        <f t="shared" si="2"/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</row>
    <row r="14" spans="3:1007" ht="15" thickBot="1" x14ac:dyDescent="0.35">
      <c r="C14" s="246" t="s">
        <v>4</v>
      </c>
      <c r="D14" s="247"/>
      <c r="E14" s="433">
        <f t="shared" ref="E14:J14" si="3">SUM(E6:E13)</f>
        <v>1025643</v>
      </c>
      <c r="F14" s="437">
        <f t="shared" si="3"/>
        <v>1017508.3821777462</v>
      </c>
      <c r="G14" s="433">
        <f t="shared" si="3"/>
        <v>694430.11846557085</v>
      </c>
      <c r="H14" s="433">
        <f t="shared" si="3"/>
        <v>323078.26371217542</v>
      </c>
      <c r="I14" s="433">
        <f t="shared" si="3"/>
        <v>-8134.6178222537856</v>
      </c>
      <c r="J14" s="433">
        <f t="shared" si="3"/>
        <v>1033795.7188467955</v>
      </c>
      <c r="K14" s="438">
        <f t="shared" si="2"/>
        <v>16287.336669049342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3:1007" ht="15" thickBot="1" x14ac:dyDescent="0.35">
      <c r="C15" s="241"/>
      <c r="D15" s="27"/>
      <c r="E15" s="242"/>
      <c r="F15" s="242"/>
      <c r="G15" s="242"/>
      <c r="H15" s="242"/>
      <c r="I15" s="243"/>
      <c r="J15" s="24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</row>
    <row r="16" spans="3:1007" ht="15" thickBot="1" x14ac:dyDescent="0.35">
      <c r="C16" s="246" t="s">
        <v>242</v>
      </c>
      <c r="D16" s="247"/>
      <c r="E16" s="247"/>
      <c r="F16" s="247"/>
      <c r="G16" s="247"/>
      <c r="H16" s="247"/>
      <c r="I16" s="247"/>
      <c r="J16" s="247"/>
      <c r="K16" s="44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</row>
    <row r="17" spans="3:1007" s="9" customFormat="1" ht="42" thickBot="1" x14ac:dyDescent="0.35">
      <c r="C17" s="250"/>
      <c r="D17" s="412"/>
      <c r="E17" s="406" t="s">
        <v>326</v>
      </c>
      <c r="F17" s="407" t="s">
        <v>241</v>
      </c>
      <c r="G17" s="402" t="s">
        <v>239</v>
      </c>
      <c r="H17" s="396" t="s">
        <v>240</v>
      </c>
      <c r="I17" s="441" t="s">
        <v>327</v>
      </c>
      <c r="J17" s="439" t="s">
        <v>335</v>
      </c>
      <c r="K17" s="440" t="s">
        <v>336</v>
      </c>
      <c r="L17" s="13"/>
      <c r="N17" s="10"/>
      <c r="O17" s="14"/>
    </row>
    <row r="18" spans="3:1007" x14ac:dyDescent="0.3">
      <c r="C18" s="252" t="s">
        <v>9</v>
      </c>
      <c r="D18" s="260" t="s">
        <v>252</v>
      </c>
      <c r="E18" s="240">
        <v>21000</v>
      </c>
      <c r="F18" s="408">
        <f>'COUT PAR IP DES OUTILS'!T28</f>
        <v>21000</v>
      </c>
      <c r="G18" s="240">
        <f>F18-H18</f>
        <v>21000</v>
      </c>
      <c r="H18" s="240">
        <f>'COUT PAR IP DES OUTILS'!V27</f>
        <v>0</v>
      </c>
      <c r="I18" s="414">
        <f t="shared" ref="I18:I27" si="4">F18-E18</f>
        <v>0</v>
      </c>
      <c r="J18" s="240">
        <f>GTI!B29</f>
        <v>21000</v>
      </c>
      <c r="K18" s="397">
        <f>J18-F18</f>
        <v>0</v>
      </c>
      <c r="L18" s="13"/>
      <c r="M18" s="1"/>
      <c r="N18" s="10"/>
      <c r="O18" s="14"/>
      <c r="P18" s="1"/>
      <c r="Q18" s="1"/>
      <c r="ALR18"/>
      <c r="ALS18"/>
    </row>
    <row r="19" spans="3:1007" x14ac:dyDescent="0.3">
      <c r="C19" s="252" t="s">
        <v>250</v>
      </c>
      <c r="D19" s="404" t="s">
        <v>5</v>
      </c>
      <c r="E19" s="240">
        <v>135660</v>
      </c>
      <c r="F19" s="408">
        <f>'COUT PAR IP DES OUTILS'!V28</f>
        <v>133000</v>
      </c>
      <c r="G19" s="240">
        <f t="shared" ref="G19:G27" si="5">F19-H19</f>
        <v>133000</v>
      </c>
      <c r="H19" s="240">
        <f>'COUT PAR IP DES OUTILS'!V27</f>
        <v>0</v>
      </c>
      <c r="I19" s="414">
        <f t="shared" si="4"/>
        <v>-2660</v>
      </c>
      <c r="J19" s="240">
        <f>'WINE INTELLIGENCE'!B29</f>
        <v>133000</v>
      </c>
      <c r="K19" s="397">
        <f t="shared" ref="K19:K27" si="6">J19-F19</f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</row>
    <row r="20" spans="3:1007" x14ac:dyDescent="0.3">
      <c r="C20" s="244" t="s">
        <v>251</v>
      </c>
      <c r="D20" s="404" t="s">
        <v>176</v>
      </c>
      <c r="E20" s="240">
        <v>108248</v>
      </c>
      <c r="F20" s="408">
        <f>'COUT PAR IP DES OUTILS'!N28</f>
        <v>109339.69978556113</v>
      </c>
      <c r="G20" s="240">
        <f t="shared" si="5"/>
        <v>65603.819871336673</v>
      </c>
      <c r="H20" s="240">
        <f>'COUT PAR IP DES OUTILS'!N27</f>
        <v>43735.879914224453</v>
      </c>
      <c r="I20" s="414">
        <f t="shared" si="4"/>
        <v>1091.6997855611262</v>
      </c>
      <c r="J20" s="240">
        <f>'IRI UK VT'!E29</f>
        <v>126813.37526804862</v>
      </c>
      <c r="K20" s="397">
        <f t="shared" si="6"/>
        <v>17473.675482487495</v>
      </c>
      <c r="N20" s="8"/>
    </row>
    <row r="21" spans="3:1007" x14ac:dyDescent="0.3">
      <c r="C21" s="244" t="s">
        <v>251</v>
      </c>
      <c r="D21" s="404" t="s">
        <v>177</v>
      </c>
      <c r="E21" s="240">
        <v>25640</v>
      </c>
      <c r="F21" s="408">
        <f>'COUT PAR IP DES OUTILS'!O28</f>
        <v>24294.867762687638</v>
      </c>
      <c r="G21" s="240">
        <f t="shared" si="5"/>
        <v>14576.920657612582</v>
      </c>
      <c r="H21" s="240">
        <f>'COUT PAR IP DES OUTILS'!O27</f>
        <v>9717.9471050750562</v>
      </c>
      <c r="I21" s="414">
        <f t="shared" si="4"/>
        <v>-1345.1322373123621</v>
      </c>
      <c r="J21" s="240">
        <f>'IRI UK VE'!B29</f>
        <v>24294.867762687638</v>
      </c>
      <c r="K21" s="397">
        <f t="shared" si="6"/>
        <v>0</v>
      </c>
      <c r="N21" s="8"/>
    </row>
    <row r="22" spans="3:1007" x14ac:dyDescent="0.3">
      <c r="C22" s="244" t="s">
        <v>251</v>
      </c>
      <c r="D22" s="404" t="s">
        <v>6</v>
      </c>
      <c r="E22" s="240">
        <v>80517</v>
      </c>
      <c r="F22" s="408">
        <f>'COUT PAR IP DES OUTILS'!P28</f>
        <v>81329.206576125813</v>
      </c>
      <c r="G22" s="240">
        <f t="shared" si="5"/>
        <v>48797.523945675486</v>
      </c>
      <c r="H22" s="240">
        <f>'COUT PAR IP DES OUTILS'!P27</f>
        <v>32531.682630450327</v>
      </c>
      <c r="I22" s="414">
        <f t="shared" si="4"/>
        <v>812.20657612581272</v>
      </c>
      <c r="J22" s="240">
        <f>'IRI All'!B29</f>
        <v>81329.206576125813</v>
      </c>
      <c r="K22" s="397">
        <f t="shared" si="6"/>
        <v>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</row>
    <row r="23" spans="3:1007" x14ac:dyDescent="0.3">
      <c r="C23" s="244" t="s">
        <v>9</v>
      </c>
      <c r="D23" s="413" t="s">
        <v>253</v>
      </c>
      <c r="E23" s="240">
        <v>15000</v>
      </c>
      <c r="F23" s="408">
        <f>'COUT PAR IP DES OUTILS'!S28</f>
        <v>15000</v>
      </c>
      <c r="G23" s="240">
        <f t="shared" si="5"/>
        <v>7500</v>
      </c>
      <c r="H23" s="240">
        <f>'COUT PAR IP DES OUTILS'!S27</f>
        <v>7500</v>
      </c>
      <c r="I23" s="414">
        <f t="shared" si="4"/>
        <v>0</v>
      </c>
      <c r="J23" s="240">
        <f>'AGREX All'!B29</f>
        <v>15000</v>
      </c>
      <c r="K23" s="397">
        <f t="shared" si="6"/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</row>
    <row r="24" spans="3:1007" x14ac:dyDescent="0.3">
      <c r="C24" s="244" t="s">
        <v>251</v>
      </c>
      <c r="D24" s="404" t="s">
        <v>7</v>
      </c>
      <c r="E24" s="240">
        <v>57762</v>
      </c>
      <c r="F24" s="408">
        <f>'COUT PAR IP DES OUTILS'!R28</f>
        <v>58344.5318084346</v>
      </c>
      <c r="G24" s="240">
        <f t="shared" si="5"/>
        <v>35006.719085060759</v>
      </c>
      <c r="H24" s="240">
        <f>'COUT PAR IP DES OUTILS'!R27</f>
        <v>23337.812723373841</v>
      </c>
      <c r="I24" s="414">
        <f t="shared" si="4"/>
        <v>582.53180843459995</v>
      </c>
      <c r="J24" s="240">
        <f>'GfK BE'!B29</f>
        <v>58344.5318084346</v>
      </c>
      <c r="K24" s="397">
        <f t="shared" si="6"/>
        <v>0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</row>
    <row r="25" spans="3:1007" x14ac:dyDescent="0.3">
      <c r="C25" s="244" t="s">
        <v>251</v>
      </c>
      <c r="D25" s="404" t="s">
        <v>8</v>
      </c>
      <c r="E25" s="240">
        <v>91000</v>
      </c>
      <c r="F25" s="408">
        <f>'COUT PAR IP DES OUTILS'!Q28</f>
        <v>91713.509649749845</v>
      </c>
      <c r="G25" s="240">
        <f t="shared" si="5"/>
        <v>55028.105789849913</v>
      </c>
      <c r="H25" s="240">
        <f>'COUT PAR IP DES OUTILS'!Q27</f>
        <v>36685.403859899932</v>
      </c>
      <c r="I25" s="414">
        <f t="shared" si="4"/>
        <v>713.50964974984527</v>
      </c>
      <c r="J25" s="240">
        <f>'IRI PB'!D29</f>
        <v>94151.696926376011</v>
      </c>
      <c r="K25" s="397">
        <f t="shared" si="6"/>
        <v>2438.1872766261658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3:1007" x14ac:dyDescent="0.3">
      <c r="C26" s="252" t="s">
        <v>9</v>
      </c>
      <c r="D26" s="260" t="s">
        <v>10</v>
      </c>
      <c r="E26" s="240">
        <v>16000</v>
      </c>
      <c r="F26" s="408">
        <f>'COUT PAR IP DES OUTILS'!U28</f>
        <v>15630.000000000002</v>
      </c>
      <c r="G26" s="240">
        <f t="shared" si="5"/>
        <v>15630.000000000002</v>
      </c>
      <c r="H26" s="240">
        <f>'COUT PAR IP DES OUTILS'!V27</f>
        <v>0</v>
      </c>
      <c r="I26" s="414">
        <f t="shared" si="4"/>
        <v>-369.99999999999818</v>
      </c>
      <c r="J26" s="240">
        <f>'DETAIL MONOPOLES'!B29</f>
        <v>15630.000000000002</v>
      </c>
      <c r="K26" s="397">
        <f t="shared" si="6"/>
        <v>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</row>
    <row r="27" spans="3:1007" ht="15" thickBot="1" x14ac:dyDescent="0.35">
      <c r="C27" s="428" t="s">
        <v>254</v>
      </c>
      <c r="D27" s="429" t="s">
        <v>223</v>
      </c>
      <c r="E27" s="430">
        <v>30000</v>
      </c>
      <c r="F27" s="431">
        <f>'COUT PAR IP DES OUTILS'!W28</f>
        <v>30000.000000000004</v>
      </c>
      <c r="G27" s="430">
        <f t="shared" si="5"/>
        <v>30000.000000000004</v>
      </c>
      <c r="H27" s="430">
        <f>'COUT PAR IP DES OUTILS'!W27</f>
        <v>0</v>
      </c>
      <c r="I27" s="432">
        <f t="shared" si="4"/>
        <v>0</v>
      </c>
      <c r="J27" s="430">
        <f>'Etude USA'!B29</f>
        <v>30000.000000000004</v>
      </c>
      <c r="K27" s="400">
        <f t="shared" si="6"/>
        <v>0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3:1007" ht="15" thickBot="1" x14ac:dyDescent="0.35">
      <c r="C28" s="246" t="s">
        <v>245</v>
      </c>
      <c r="D28" s="247"/>
      <c r="E28" s="426">
        <f>SUM(E18:E27)</f>
        <v>580827</v>
      </c>
      <c r="F28" s="427">
        <f t="shared" ref="F28:I28" si="7">SUM(F18:F27)</f>
        <v>579651.81558255898</v>
      </c>
      <c r="G28" s="426">
        <f t="shared" si="7"/>
        <v>426143.08934953541</v>
      </c>
      <c r="H28" s="426">
        <f t="shared" si="7"/>
        <v>153508.72623302363</v>
      </c>
      <c r="I28" s="433">
        <f t="shared" si="7"/>
        <v>-1175.1844174409762</v>
      </c>
      <c r="J28" s="426">
        <f>SUM(J18:J27)</f>
        <v>599563.67834167264</v>
      </c>
      <c r="K28" s="251">
        <f>SUM(K18:K27)</f>
        <v>19911.862759113661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</row>
    <row r="29" spans="3:1007" ht="15" thickBot="1" x14ac:dyDescent="0.35">
      <c r="C29" s="1"/>
      <c r="D29" s="9"/>
      <c r="E29" s="60"/>
      <c r="F29" s="60"/>
      <c r="G29" s="60"/>
      <c r="H29" s="60"/>
      <c r="I29" s="60"/>
      <c r="J29" s="6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</row>
    <row r="30" spans="3:1007" ht="15" thickBot="1" x14ac:dyDescent="0.35">
      <c r="C30" s="246" t="s">
        <v>238</v>
      </c>
      <c r="D30" s="247"/>
      <c r="E30" s="254"/>
      <c r="F30" s="254"/>
      <c r="G30" s="254"/>
      <c r="H30" s="254"/>
      <c r="I30" s="254"/>
      <c r="J30" s="254"/>
      <c r="K30" s="25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</row>
    <row r="31" spans="3:1007" ht="42" thickBot="1" x14ac:dyDescent="0.35">
      <c r="C31" s="250"/>
      <c r="D31" s="253"/>
      <c r="E31" s="406" t="s">
        <v>326</v>
      </c>
      <c r="F31" s="407" t="s">
        <v>241</v>
      </c>
      <c r="G31" s="402" t="s">
        <v>239</v>
      </c>
      <c r="H31" s="396" t="s">
        <v>240</v>
      </c>
      <c r="I31" s="441" t="s">
        <v>327</v>
      </c>
      <c r="J31" s="439" t="s">
        <v>335</v>
      </c>
      <c r="K31" s="440" t="s">
        <v>336</v>
      </c>
      <c r="N31" s="8"/>
    </row>
    <row r="32" spans="3:1007" x14ac:dyDescent="0.3">
      <c r="C32" s="24"/>
      <c r="D32" s="259" t="s">
        <v>178</v>
      </c>
      <c r="E32" s="415">
        <v>10000</v>
      </c>
      <c r="F32" s="416">
        <v>10000</v>
      </c>
      <c r="G32" s="417">
        <v>10000</v>
      </c>
      <c r="H32" s="418">
        <v>0</v>
      </c>
      <c r="I32" s="417">
        <f>F32-E32</f>
        <v>0</v>
      </c>
      <c r="J32" s="418">
        <f>F32</f>
        <v>10000</v>
      </c>
      <c r="K32" s="409"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</row>
    <row r="33" spans="2:1007" x14ac:dyDescent="0.3">
      <c r="C33" s="25"/>
      <c r="D33" s="260" t="s">
        <v>179</v>
      </c>
      <c r="E33" s="415">
        <v>5000</v>
      </c>
      <c r="F33" s="416">
        <v>5000</v>
      </c>
      <c r="G33" s="417">
        <v>5000</v>
      </c>
      <c r="H33" s="418">
        <v>0</v>
      </c>
      <c r="I33" s="417">
        <v>0</v>
      </c>
      <c r="J33" s="418">
        <f>F33</f>
        <v>5000</v>
      </c>
      <c r="K33" s="409"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</row>
    <row r="34" spans="2:1007" ht="15" thickBot="1" x14ac:dyDescent="0.35">
      <c r="C34" s="419"/>
      <c r="D34" s="420" t="s">
        <v>180</v>
      </c>
      <c r="E34" s="421">
        <v>5000</v>
      </c>
      <c r="F34" s="422">
        <v>5000</v>
      </c>
      <c r="G34" s="423">
        <v>5000</v>
      </c>
      <c r="H34" s="424">
        <v>0</v>
      </c>
      <c r="I34" s="423">
        <v>0</v>
      </c>
      <c r="J34" s="424">
        <f>F34</f>
        <v>5000</v>
      </c>
      <c r="K34" s="425"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</row>
    <row r="35" spans="2:1007" ht="15" thickBot="1" x14ac:dyDescent="0.35">
      <c r="C35" s="246" t="s">
        <v>246</v>
      </c>
      <c r="D35" s="247"/>
      <c r="E35" s="426">
        <f>SUM(E32:E34)</f>
        <v>20000</v>
      </c>
      <c r="F35" s="427">
        <f t="shared" ref="F35:H35" si="8">SUM(F32:F34)</f>
        <v>20000</v>
      </c>
      <c r="G35" s="426">
        <f t="shared" si="8"/>
        <v>20000</v>
      </c>
      <c r="H35" s="426">
        <f t="shared" si="8"/>
        <v>0</v>
      </c>
      <c r="I35" s="426">
        <f t="shared" ref="I35:J35" si="9">SUM(I32:I34)</f>
        <v>0</v>
      </c>
      <c r="J35" s="426">
        <f t="shared" si="9"/>
        <v>20000</v>
      </c>
      <c r="K35" s="251">
        <f>SUM(K32:K34)</f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</row>
    <row r="36" spans="2:1007" ht="15" thickBot="1" x14ac:dyDescent="0.35">
      <c r="C36" s="1"/>
      <c r="D36" s="9"/>
      <c r="E36" s="60"/>
      <c r="F36" s="60"/>
      <c r="G36" s="60"/>
      <c r="H36" s="60"/>
      <c r="I36" s="60"/>
      <c r="J36" s="60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</row>
    <row r="37" spans="2:1007" x14ac:dyDescent="0.3">
      <c r="C37" s="443" t="s">
        <v>243</v>
      </c>
      <c r="D37" s="444"/>
      <c r="E37" s="445">
        <f>E14+E28</f>
        <v>1606470</v>
      </c>
      <c r="F37" s="445">
        <f t="shared" ref="F37:I37" si="10">F14+F28</f>
        <v>1597160.1977603051</v>
      </c>
      <c r="G37" s="445">
        <f t="shared" si="10"/>
        <v>1120573.2078151063</v>
      </c>
      <c r="H37" s="445">
        <f t="shared" si="10"/>
        <v>476586.98994519905</v>
      </c>
      <c r="I37" s="445">
        <f t="shared" si="10"/>
        <v>-9309.8022396947617</v>
      </c>
      <c r="J37" s="445">
        <f>J14+J28</f>
        <v>1633359.3971884681</v>
      </c>
      <c r="K37" s="449">
        <f>K14+K28</f>
        <v>36199.199428163003</v>
      </c>
      <c r="N37" s="8"/>
    </row>
    <row r="38" spans="2:1007" ht="15" thickBot="1" x14ac:dyDescent="0.35">
      <c r="C38" s="446" t="s">
        <v>244</v>
      </c>
      <c r="D38" s="447"/>
      <c r="E38" s="448">
        <f>E37+E35</f>
        <v>1626470</v>
      </c>
      <c r="F38" s="448">
        <f t="shared" ref="F38:I38" si="11">F37+F35</f>
        <v>1617160.1977603051</v>
      </c>
      <c r="G38" s="448">
        <f t="shared" si="11"/>
        <v>1140573.2078151063</v>
      </c>
      <c r="H38" s="448">
        <f t="shared" si="11"/>
        <v>476586.98994519905</v>
      </c>
      <c r="I38" s="448">
        <f t="shared" si="11"/>
        <v>-9309.8022396947617</v>
      </c>
      <c r="J38" s="448">
        <f>J14+J28+J35</f>
        <v>1653359.3971884681</v>
      </c>
      <c r="K38" s="450">
        <f>K14+K28+K35</f>
        <v>36199.199428163003</v>
      </c>
      <c r="N38" s="8"/>
    </row>
    <row r="39" spans="2:1007" x14ac:dyDescent="0.3">
      <c r="D39" s="18"/>
      <c r="E39" s="64"/>
      <c r="F39" s="64"/>
      <c r="G39" s="64"/>
      <c r="H39" s="64"/>
      <c r="I39" s="19"/>
      <c r="J39" s="19"/>
    </row>
    <row r="40" spans="2:1007" x14ac:dyDescent="0.3">
      <c r="B40" s="257" t="s">
        <v>247</v>
      </c>
    </row>
    <row r="42" spans="2:1007" x14ac:dyDescent="0.3">
      <c r="B42" s="258"/>
      <c r="C42" t="s">
        <v>249</v>
      </c>
    </row>
    <row r="44" spans="2:1007" x14ac:dyDescent="0.3">
      <c r="B44" s="256"/>
      <c r="C44" t="s">
        <v>248</v>
      </c>
    </row>
    <row r="46" spans="2:1007" x14ac:dyDescent="0.3">
      <c r="B46" s="327"/>
      <c r="C46" t="s">
        <v>329</v>
      </c>
    </row>
  </sheetData>
  <mergeCells count="1">
    <mergeCell ref="D2:I2"/>
  </mergeCells>
  <hyperlinks>
    <hyperlink ref="D12" location="'OUTIL RO'!A1" display="OUTIL RO" xr:uid="{00000000-0004-0000-0100-000000000000}"/>
    <hyperlink ref="D13" location="'CAVISTES IRI'!A1" display="CavIstes IRI" xr:uid="{00000000-0004-0000-0100-000001000000}"/>
  </hyperlinks>
  <pageMargins left="0.25" right="0.25" top="0.75" bottom="0.75" header="0.3" footer="0.3"/>
  <pageSetup paperSize="9" scale="61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34"/>
  <sheetViews>
    <sheetView topLeftCell="A10" workbookViewId="0">
      <selection activeCell="B30" sqref="B30"/>
    </sheetView>
  </sheetViews>
  <sheetFormatPr baseColWidth="10" defaultColWidth="9.109375" defaultRowHeight="14.4" x14ac:dyDescent="0.3"/>
  <cols>
    <col min="1" max="1" width="24.44140625" customWidth="1"/>
    <col min="2" max="2" width="31.6640625" customWidth="1"/>
  </cols>
  <sheetData>
    <row r="1" spans="1:2" x14ac:dyDescent="0.3">
      <c r="A1" s="110" t="s">
        <v>138</v>
      </c>
    </row>
    <row r="3" spans="1:2" x14ac:dyDescent="0.3">
      <c r="A3" s="461" t="s">
        <v>40</v>
      </c>
      <c r="B3" s="114" t="s">
        <v>206</v>
      </c>
    </row>
    <row r="4" spans="1:2" x14ac:dyDescent="0.3">
      <c r="A4" s="461"/>
      <c r="B4" s="114"/>
    </row>
    <row r="5" spans="1:2" x14ac:dyDescent="0.3">
      <c r="A5" s="461"/>
      <c r="B5" s="114"/>
    </row>
    <row r="6" spans="1:2" ht="15" customHeight="1" x14ac:dyDescent="0.3">
      <c r="A6" s="461"/>
      <c r="B6" s="114" t="s">
        <v>39</v>
      </c>
    </row>
    <row r="7" spans="1:2" x14ac:dyDescent="0.3">
      <c r="A7" s="98" t="s">
        <v>15</v>
      </c>
      <c r="B7" s="109">
        <f>(B$34-B$28)*('ANNEXE 1 Grille'!C5/'ANNEXE 1 Grille'!C$50)</f>
        <v>944.56701599558755</v>
      </c>
    </row>
    <row r="8" spans="1:2" x14ac:dyDescent="0.3">
      <c r="A8" s="103" t="s">
        <v>50</v>
      </c>
      <c r="B8" s="107"/>
    </row>
    <row r="9" spans="1:2" x14ac:dyDescent="0.3">
      <c r="A9" s="98" t="s">
        <v>16</v>
      </c>
      <c r="B9" s="109">
        <f>(B$34-B$28)*('ANNEXE 1 Grille'!C7/'ANNEXE 1 Grille'!C$50)</f>
        <v>595.2380952380953</v>
      </c>
    </row>
    <row r="10" spans="1:2" x14ac:dyDescent="0.3">
      <c r="A10" s="98" t="s">
        <v>17</v>
      </c>
      <c r="B10" s="109">
        <f>(B$34-B$28)*('ANNEXE 1 Grille'!C8/'ANNEXE 1 Grille'!C$50)</f>
        <v>305.66280566280568</v>
      </c>
    </row>
    <row r="11" spans="1:2" x14ac:dyDescent="0.3">
      <c r="A11" s="98" t="s">
        <v>18</v>
      </c>
      <c r="B11" s="109">
        <f>(B$34-B$28)*('ANNEXE 1 Grille'!C9/'ANNEXE 1 Grille'!C$50)</f>
        <v>3247.3800330943191</v>
      </c>
    </row>
    <row r="12" spans="1:2" x14ac:dyDescent="0.3">
      <c r="A12" s="98" t="s">
        <v>19</v>
      </c>
      <c r="B12" s="109">
        <f>(B$34-B$28)*('ANNEXE 1 Grille'!C10/'ANNEXE 1 Grille'!C$50)</f>
        <v>1921.309064166207</v>
      </c>
    </row>
    <row r="13" spans="1:2" x14ac:dyDescent="0.3">
      <c r="A13" s="98" t="s">
        <v>20</v>
      </c>
      <c r="B13" s="109">
        <f>(B$34-B$28)*('ANNEXE 1 Grille'!C11/'ANNEXE 1 Grille'!C$50)</f>
        <v>94.226879941165691</v>
      </c>
    </row>
    <row r="14" spans="1:2" x14ac:dyDescent="0.3">
      <c r="A14" s="98" t="s">
        <v>21</v>
      </c>
      <c r="B14" s="109">
        <f>(B$34-B$28)*('ANNEXE 1 Grille'!C12/'ANNEXE 1 Grille'!C$50)</f>
        <v>535.48446405589277</v>
      </c>
    </row>
    <row r="15" spans="1:2" x14ac:dyDescent="0.3">
      <c r="A15" s="98" t="s">
        <v>22</v>
      </c>
      <c r="B15" s="109">
        <f>(B$34-B$28)*('ANNEXE 1 Grille'!C13/'ANNEXE 1 Grille'!C$50)</f>
        <v>3380.67659496231</v>
      </c>
    </row>
    <row r="16" spans="1:2" x14ac:dyDescent="0.3">
      <c r="A16" s="98" t="s">
        <v>24</v>
      </c>
      <c r="B16" s="109">
        <f>(B$34-B$28)*('ANNEXE 1 Grille'!C14/'ANNEXE 1 Grille'!C$50)</f>
        <v>195.34840963412395</v>
      </c>
    </row>
    <row r="17" spans="1:2" x14ac:dyDescent="0.3">
      <c r="A17" s="98" t="s">
        <v>25</v>
      </c>
      <c r="B17" s="109">
        <f>(B$34-B$28)*('ANNEXE 1 Grille'!C15/'ANNEXE 1 Grille'!C$50)</f>
        <v>475.73083287369008</v>
      </c>
    </row>
    <row r="18" spans="1:2" x14ac:dyDescent="0.3">
      <c r="A18" s="98" t="s">
        <v>26</v>
      </c>
      <c r="B18" s="109">
        <f>(B$34-B$28)*('ANNEXE 1 Grille'!C16/'ANNEXE 1 Grille'!C$50)</f>
        <v>66.648280933995224</v>
      </c>
    </row>
    <row r="19" spans="1:2" x14ac:dyDescent="0.3">
      <c r="A19" s="98" t="s">
        <v>27</v>
      </c>
      <c r="B19" s="109">
        <f>(B$34-B$28)*('ANNEXE 1 Grille'!C17/'ANNEXE 1 Grille'!C$50)</f>
        <v>1470.858613715757</v>
      </c>
    </row>
    <row r="20" spans="1:2" x14ac:dyDescent="0.3">
      <c r="A20" s="98" t="s">
        <v>28</v>
      </c>
      <c r="B20" s="109">
        <f>(B$34-B$28)*('ANNEXE 1 Grille'!C18/'ANNEXE 1 Grille'!C$50)</f>
        <v>2146.5342893914321</v>
      </c>
    </row>
    <row r="21" spans="1:2" x14ac:dyDescent="0.3">
      <c r="A21" s="98" t="s">
        <v>29</v>
      </c>
      <c r="B21" s="109">
        <f>(B$34-B$28)*('ANNEXE 1 Grille'!C19/'ANNEXE 1 Grille'!C$50)</f>
        <v>85.034013605442198</v>
      </c>
    </row>
    <row r="22" spans="1:2" x14ac:dyDescent="0.3">
      <c r="A22" s="98" t="s">
        <v>30</v>
      </c>
      <c r="B22" s="109">
        <f>(B$34-B$28)*('ANNEXE 1 Grille'!C20/'ANNEXE 1 Grille'!C$50)</f>
        <v>999.72421400992835</v>
      </c>
    </row>
    <row r="23" spans="1:2" x14ac:dyDescent="0.3">
      <c r="A23" s="98" t="s">
        <v>31</v>
      </c>
      <c r="B23" s="109">
        <f>(B$34-B$28)*('ANNEXE 1 Grille'!C21/'ANNEXE 1 Grille'!C$50)</f>
        <v>381.50395293252444</v>
      </c>
    </row>
    <row r="24" spans="1:2" x14ac:dyDescent="0.3">
      <c r="A24" s="98" t="s">
        <v>32</v>
      </c>
      <c r="B24" s="109">
        <f>(B$34-B$28)*('ANNEXE 1 Grille'!C22/'ANNEXE 1 Grille'!C$50)</f>
        <v>110.31439602868176</v>
      </c>
    </row>
    <row r="25" spans="1:2" x14ac:dyDescent="0.3">
      <c r="A25" s="98" t="s">
        <v>33</v>
      </c>
      <c r="B25" s="109">
        <f>(B$34-B$28)*('ANNEXE 1 Grille'!C23/'ANNEXE 1 Grille'!C$50)</f>
        <v>705.55249126677711</v>
      </c>
    </row>
    <row r="26" spans="1:2" x14ac:dyDescent="0.3">
      <c r="A26" s="98" t="s">
        <v>128</v>
      </c>
      <c r="B26" s="109">
        <f>(B$34-B$28)*('ANNEXE 1 Grille'!C24/'ANNEXE 1 Grille'!C$50)</f>
        <v>1417.9996322853469</v>
      </c>
    </row>
    <row r="27" spans="1:2" x14ac:dyDescent="0.3">
      <c r="A27" s="98" t="s">
        <v>35</v>
      </c>
      <c r="B27" s="109">
        <f>(B$34-B$28)*('ANNEXE 1 Grille'!C25/'ANNEXE 1 Grille'!C$50)</f>
        <v>1753.5392535392539</v>
      </c>
    </row>
    <row r="28" spans="1:2" x14ac:dyDescent="0.3">
      <c r="A28" s="86" t="s">
        <v>129</v>
      </c>
      <c r="B28" s="86">
        <f>B34*0.5</f>
        <v>20833.333333333336</v>
      </c>
    </row>
    <row r="29" spans="1:2" x14ac:dyDescent="0.3">
      <c r="A29" s="86" t="s">
        <v>72</v>
      </c>
      <c r="B29" s="86">
        <f>SUM(B7:B28)</f>
        <v>41666.666666666679</v>
      </c>
    </row>
    <row r="30" spans="1:2" ht="21.6" x14ac:dyDescent="0.3">
      <c r="A30" s="87" t="s">
        <v>130</v>
      </c>
      <c r="B30" s="106">
        <f>B29-B28</f>
        <v>20833.333333333343</v>
      </c>
    </row>
    <row r="31" spans="1:2" x14ac:dyDescent="0.3">
      <c r="A31" s="88"/>
      <c r="B31" s="88"/>
    </row>
    <row r="32" spans="1:2" x14ac:dyDescent="0.3">
      <c r="A32" s="88"/>
      <c r="B32" s="88"/>
    </row>
    <row r="33" spans="1:2" x14ac:dyDescent="0.3">
      <c r="A33" s="84"/>
      <c r="B33" s="114" t="s">
        <v>39</v>
      </c>
    </row>
    <row r="34" spans="1:2" x14ac:dyDescent="0.3">
      <c r="A34" s="84" t="s">
        <v>207</v>
      </c>
      <c r="B34" s="85">
        <f>50000/1.2</f>
        <v>41666.666666666672</v>
      </c>
    </row>
  </sheetData>
  <mergeCells count="1">
    <mergeCell ref="A3:A6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B36"/>
  <sheetViews>
    <sheetView topLeftCell="A19" workbookViewId="0">
      <selection activeCell="B7" sqref="B7"/>
    </sheetView>
  </sheetViews>
  <sheetFormatPr baseColWidth="10" defaultColWidth="9.109375" defaultRowHeight="14.4" x14ac:dyDescent="0.3"/>
  <cols>
    <col min="1" max="1" width="20.33203125" customWidth="1"/>
    <col min="2" max="2" width="31.6640625" customWidth="1"/>
  </cols>
  <sheetData>
    <row r="1" spans="1:2" x14ac:dyDescent="0.3">
      <c r="A1" s="110" t="s">
        <v>139</v>
      </c>
    </row>
    <row r="3" spans="1:2" x14ac:dyDescent="0.3">
      <c r="A3" s="461" t="s">
        <v>40</v>
      </c>
      <c r="B3" s="114" t="s">
        <v>211</v>
      </c>
    </row>
    <row r="4" spans="1:2" x14ac:dyDescent="0.3">
      <c r="A4" s="461"/>
      <c r="B4" s="114"/>
    </row>
    <row r="5" spans="1:2" x14ac:dyDescent="0.3">
      <c r="A5" s="461"/>
      <c r="B5" s="114"/>
    </row>
    <row r="6" spans="1:2" ht="15" customHeight="1" x14ac:dyDescent="0.3">
      <c r="A6" s="461"/>
      <c r="B6" s="114" t="s">
        <v>39</v>
      </c>
    </row>
    <row r="7" spans="1:2" x14ac:dyDescent="0.3">
      <c r="A7" s="98" t="s">
        <v>15</v>
      </c>
      <c r="B7" s="107">
        <f>B$36*('ANNEXE 1 Grille'!C5/'ANNEXE 1 Grille'!C$50)</f>
        <v>0</v>
      </c>
    </row>
    <row r="8" spans="1:2" x14ac:dyDescent="0.3">
      <c r="A8" s="103" t="s">
        <v>50</v>
      </c>
      <c r="B8" s="107"/>
    </row>
    <row r="9" spans="1:2" x14ac:dyDescent="0.3">
      <c r="A9" s="98" t="s">
        <v>16</v>
      </c>
      <c r="B9" s="107">
        <f>B$36*('ANNEXE 1 Grille'!C7/'ANNEXE 1 Grille'!C$50)</f>
        <v>0</v>
      </c>
    </row>
    <row r="10" spans="1:2" x14ac:dyDescent="0.3">
      <c r="A10" s="98" t="s">
        <v>17</v>
      </c>
      <c r="B10" s="107">
        <f>B$36*('ANNEXE 1 Grille'!C8/'ANNEXE 1 Grille'!C$50)</f>
        <v>0</v>
      </c>
    </row>
    <row r="11" spans="1:2" x14ac:dyDescent="0.3">
      <c r="A11" s="98" t="s">
        <v>18</v>
      </c>
      <c r="B11" s="107">
        <f>B$36*('ANNEXE 1 Grille'!C9/'ANNEXE 1 Grille'!C$50)</f>
        <v>0</v>
      </c>
    </row>
    <row r="12" spans="1:2" x14ac:dyDescent="0.3">
      <c r="A12" s="98" t="s">
        <v>19</v>
      </c>
      <c r="B12" s="107">
        <f>B$36*('ANNEXE 1 Grille'!C10/'ANNEXE 1 Grille'!C$50)</f>
        <v>0</v>
      </c>
    </row>
    <row r="13" spans="1:2" x14ac:dyDescent="0.3">
      <c r="A13" s="98" t="s">
        <v>20</v>
      </c>
      <c r="B13" s="107">
        <f>B$36*('ANNEXE 1 Grille'!C11/'ANNEXE 1 Grille'!C$50)</f>
        <v>0</v>
      </c>
    </row>
    <row r="14" spans="1:2" x14ac:dyDescent="0.3">
      <c r="A14" s="98" t="s">
        <v>21</v>
      </c>
      <c r="B14" s="107">
        <f>B$36*('ANNEXE 1 Grille'!C12/'ANNEXE 1 Grille'!C$50)</f>
        <v>0</v>
      </c>
    </row>
    <row r="15" spans="1:2" x14ac:dyDescent="0.3">
      <c r="A15" s="98" t="s">
        <v>22</v>
      </c>
      <c r="B15" s="107">
        <f>B$36*('ANNEXE 1 Grille'!C13/'ANNEXE 1 Grille'!C$50)</f>
        <v>0</v>
      </c>
    </row>
    <row r="16" spans="1:2" x14ac:dyDescent="0.3">
      <c r="A16" s="98" t="s">
        <v>24</v>
      </c>
      <c r="B16" s="107">
        <f>B$36*('ANNEXE 1 Grille'!C14/'ANNEXE 1 Grille'!C$50)</f>
        <v>0</v>
      </c>
    </row>
    <row r="17" spans="1:2" x14ac:dyDescent="0.3">
      <c r="A17" s="98" t="s">
        <v>25</v>
      </c>
      <c r="B17" s="107">
        <f>B$36*('ANNEXE 1 Grille'!C15/'ANNEXE 1 Grille'!C$50)</f>
        <v>0</v>
      </c>
    </row>
    <row r="18" spans="1:2" x14ac:dyDescent="0.3">
      <c r="A18" s="98" t="s">
        <v>26</v>
      </c>
      <c r="B18" s="107">
        <f>B$36*('ANNEXE 1 Grille'!C16/'ANNEXE 1 Grille'!C$50)</f>
        <v>0</v>
      </c>
    </row>
    <row r="19" spans="1:2" x14ac:dyDescent="0.3">
      <c r="A19" s="98" t="s">
        <v>27</v>
      </c>
      <c r="B19" s="107">
        <f>B$36*('ANNEXE 1 Grille'!C17/'ANNEXE 1 Grille'!C$50)</f>
        <v>0</v>
      </c>
    </row>
    <row r="20" spans="1:2" x14ac:dyDescent="0.3">
      <c r="A20" s="98" t="s">
        <v>28</v>
      </c>
      <c r="B20" s="107">
        <f>B$36*('ANNEXE 1 Grille'!C18/'ANNEXE 1 Grille'!C$50)</f>
        <v>0</v>
      </c>
    </row>
    <row r="21" spans="1:2" x14ac:dyDescent="0.3">
      <c r="A21" s="98" t="s">
        <v>29</v>
      </c>
      <c r="B21" s="107">
        <f>B$36*('ANNEXE 1 Grille'!C19/'ANNEXE 1 Grille'!C$50)</f>
        <v>0</v>
      </c>
    </row>
    <row r="22" spans="1:2" x14ac:dyDescent="0.3">
      <c r="A22" s="98" t="s">
        <v>30</v>
      </c>
      <c r="B22" s="107">
        <f>B$36*('ANNEXE 1 Grille'!C20/'ANNEXE 1 Grille'!C$50)</f>
        <v>0</v>
      </c>
    </row>
    <row r="23" spans="1:2" x14ac:dyDescent="0.3">
      <c r="A23" s="98" t="s">
        <v>31</v>
      </c>
      <c r="B23" s="107">
        <f>B$36*('ANNEXE 1 Grille'!C21/'ANNEXE 1 Grille'!C$50)</f>
        <v>0</v>
      </c>
    </row>
    <row r="24" spans="1:2" x14ac:dyDescent="0.3">
      <c r="A24" s="98" t="s">
        <v>32</v>
      </c>
      <c r="B24" s="107">
        <f>B$36*('ANNEXE 1 Grille'!C22/'ANNEXE 1 Grille'!C$50)</f>
        <v>0</v>
      </c>
    </row>
    <row r="25" spans="1:2" x14ac:dyDescent="0.3">
      <c r="A25" s="98" t="s">
        <v>33</v>
      </c>
      <c r="B25" s="107">
        <f>B$36*('ANNEXE 1 Grille'!C23/'ANNEXE 1 Grille'!C$50)</f>
        <v>0</v>
      </c>
    </row>
    <row r="26" spans="1:2" x14ac:dyDescent="0.3">
      <c r="A26" s="98" t="s">
        <v>128</v>
      </c>
      <c r="B26" s="107">
        <f>B$36*('ANNEXE 1 Grille'!C24/'ANNEXE 1 Grille'!C$50)</f>
        <v>0</v>
      </c>
    </row>
    <row r="27" spans="1:2" x14ac:dyDescent="0.3">
      <c r="A27" s="98" t="s">
        <v>35</v>
      </c>
      <c r="B27" s="107">
        <f>B$36*('ANNEXE 1 Grille'!C25/'ANNEXE 1 Grille'!C$50)</f>
        <v>0</v>
      </c>
    </row>
    <row r="28" spans="1:2" x14ac:dyDescent="0.3">
      <c r="A28" s="102" t="s">
        <v>129</v>
      </c>
      <c r="B28" s="102"/>
    </row>
    <row r="29" spans="1:2" ht="24.6" x14ac:dyDescent="0.3">
      <c r="A29" s="122" t="s">
        <v>209</v>
      </c>
      <c r="B29" s="86">
        <f>SUM(B7:B28)</f>
        <v>0</v>
      </c>
    </row>
    <row r="30" spans="1:2" ht="36.6" x14ac:dyDescent="0.3">
      <c r="A30" s="122" t="s">
        <v>192</v>
      </c>
      <c r="B30" s="86"/>
    </row>
    <row r="31" spans="1:2" ht="24.6" x14ac:dyDescent="0.3">
      <c r="A31" s="122" t="s">
        <v>193</v>
      </c>
      <c r="B31" s="86">
        <f>B29+B30</f>
        <v>0</v>
      </c>
    </row>
    <row r="32" spans="1:2" ht="21.6" x14ac:dyDescent="0.3">
      <c r="A32" s="87" t="s">
        <v>130</v>
      </c>
      <c r="B32" s="106">
        <f>B29-B28</f>
        <v>0</v>
      </c>
    </row>
    <row r="33" spans="1:2" x14ac:dyDescent="0.3">
      <c r="A33" s="88"/>
      <c r="B33" s="88"/>
    </row>
    <row r="34" spans="1:2" x14ac:dyDescent="0.3">
      <c r="A34" s="88"/>
      <c r="B34" s="88"/>
    </row>
    <row r="35" spans="1:2" x14ac:dyDescent="0.3">
      <c r="A35" s="84"/>
      <c r="B35" s="114" t="s">
        <v>39</v>
      </c>
    </row>
    <row r="36" spans="1:2" x14ac:dyDescent="0.3">
      <c r="A36" s="84" t="s">
        <v>208</v>
      </c>
      <c r="B36" s="85">
        <v>0</v>
      </c>
    </row>
  </sheetData>
  <mergeCells count="1">
    <mergeCell ref="A3:A6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D51"/>
  <sheetViews>
    <sheetView topLeftCell="A31" workbookViewId="0"/>
  </sheetViews>
  <sheetFormatPr baseColWidth="10" defaultColWidth="11.44140625" defaultRowHeight="14.4" x14ac:dyDescent="0.3"/>
  <cols>
    <col min="1" max="1" width="21.33203125" customWidth="1"/>
    <col min="2" max="2" width="22.109375" customWidth="1"/>
  </cols>
  <sheetData>
    <row r="1" spans="1:2" x14ac:dyDescent="0.3">
      <c r="A1" s="110" t="s">
        <v>322</v>
      </c>
    </row>
    <row r="3" spans="1:2" x14ac:dyDescent="0.3">
      <c r="A3" s="461" t="s">
        <v>40</v>
      </c>
      <c r="B3" s="114" t="s">
        <v>210</v>
      </c>
    </row>
    <row r="4" spans="1:2" x14ac:dyDescent="0.3">
      <c r="A4" s="461"/>
      <c r="B4" s="114"/>
    </row>
    <row r="5" spans="1:2" x14ac:dyDescent="0.3">
      <c r="A5" s="461"/>
      <c r="B5" s="114"/>
    </row>
    <row r="6" spans="1:2" x14ac:dyDescent="0.3">
      <c r="A6" s="461"/>
      <c r="B6" s="114" t="s">
        <v>39</v>
      </c>
    </row>
    <row r="7" spans="1:2" x14ac:dyDescent="0.3">
      <c r="A7" s="98" t="s">
        <v>15</v>
      </c>
      <c r="B7" s="107"/>
    </row>
    <row r="8" spans="1:2" x14ac:dyDescent="0.3">
      <c r="A8" s="103" t="s">
        <v>50</v>
      </c>
      <c r="B8" s="107"/>
    </row>
    <row r="9" spans="1:2" x14ac:dyDescent="0.3">
      <c r="A9" s="98" t="s">
        <v>16</v>
      </c>
      <c r="B9" s="107"/>
    </row>
    <row r="10" spans="1:2" x14ac:dyDescent="0.3">
      <c r="A10" s="98" t="s">
        <v>17</v>
      </c>
      <c r="B10" s="107"/>
    </row>
    <row r="11" spans="1:2" x14ac:dyDescent="0.3">
      <c r="A11" s="98" t="s">
        <v>18</v>
      </c>
      <c r="B11" s="107"/>
    </row>
    <row r="12" spans="1:2" x14ac:dyDescent="0.3">
      <c r="A12" s="98" t="s">
        <v>19</v>
      </c>
      <c r="B12" s="107"/>
    </row>
    <row r="13" spans="1:2" x14ac:dyDescent="0.3">
      <c r="A13" s="98" t="s">
        <v>20</v>
      </c>
      <c r="B13" s="107"/>
    </row>
    <row r="14" spans="1:2" x14ac:dyDescent="0.3">
      <c r="A14" s="98" t="s">
        <v>21</v>
      </c>
      <c r="B14" s="107"/>
    </row>
    <row r="15" spans="1:2" x14ac:dyDescent="0.3">
      <c r="A15" s="98" t="s">
        <v>22</v>
      </c>
      <c r="B15" s="107"/>
    </row>
    <row r="16" spans="1:2" x14ac:dyDescent="0.3">
      <c r="A16" s="98" t="s">
        <v>24</v>
      </c>
      <c r="B16" s="107"/>
    </row>
    <row r="17" spans="1:2" x14ac:dyDescent="0.3">
      <c r="A17" s="98" t="s">
        <v>25</v>
      </c>
      <c r="B17" s="107"/>
    </row>
    <row r="18" spans="1:2" x14ac:dyDescent="0.3">
      <c r="A18" s="98" t="s">
        <v>26</v>
      </c>
      <c r="B18" s="107"/>
    </row>
    <row r="19" spans="1:2" x14ac:dyDescent="0.3">
      <c r="A19" s="98" t="s">
        <v>27</v>
      </c>
      <c r="B19" s="107"/>
    </row>
    <row r="20" spans="1:2" x14ac:dyDescent="0.3">
      <c r="A20" s="98" t="s">
        <v>28</v>
      </c>
      <c r="B20" s="107"/>
    </row>
    <row r="21" spans="1:2" x14ac:dyDescent="0.3">
      <c r="A21" s="98" t="s">
        <v>29</v>
      </c>
      <c r="B21" s="107"/>
    </row>
    <row r="22" spans="1:2" x14ac:dyDescent="0.3">
      <c r="A22" s="98" t="s">
        <v>30</v>
      </c>
      <c r="B22" s="107"/>
    </row>
    <row r="23" spans="1:2" x14ac:dyDescent="0.3">
      <c r="A23" s="98" t="s">
        <v>31</v>
      </c>
      <c r="B23" s="107"/>
    </row>
    <row r="24" spans="1:2" x14ac:dyDescent="0.3">
      <c r="A24" s="98" t="s">
        <v>32</v>
      </c>
      <c r="B24" s="107"/>
    </row>
    <row r="25" spans="1:2" x14ac:dyDescent="0.3">
      <c r="A25" s="98" t="s">
        <v>33</v>
      </c>
      <c r="B25" s="107"/>
    </row>
    <row r="26" spans="1:2" x14ac:dyDescent="0.3">
      <c r="A26" s="98" t="s">
        <v>128</v>
      </c>
      <c r="B26" s="107"/>
    </row>
    <row r="27" spans="1:2" x14ac:dyDescent="0.3">
      <c r="A27" s="98" t="s">
        <v>35</v>
      </c>
      <c r="B27" s="107"/>
    </row>
    <row r="28" spans="1:2" x14ac:dyDescent="0.3">
      <c r="A28" s="98" t="s">
        <v>129</v>
      </c>
      <c r="B28" s="112">
        <v>0</v>
      </c>
    </row>
    <row r="29" spans="1:2" ht="24.6" x14ac:dyDescent="0.3">
      <c r="A29" s="122" t="s">
        <v>194</v>
      </c>
      <c r="B29" s="86">
        <v>0</v>
      </c>
    </row>
    <row r="30" spans="1:2" x14ac:dyDescent="0.3">
      <c r="A30" s="122" t="s">
        <v>72</v>
      </c>
      <c r="B30" s="121">
        <v>0</v>
      </c>
    </row>
    <row r="31" spans="1:2" ht="21.6" x14ac:dyDescent="0.3">
      <c r="A31" s="87" t="s">
        <v>130</v>
      </c>
      <c r="B31" s="106">
        <f>B29-B28</f>
        <v>0</v>
      </c>
    </row>
    <row r="32" spans="1:2" x14ac:dyDescent="0.3">
      <c r="A32" s="88"/>
      <c r="B32" s="88"/>
    </row>
    <row r="33" spans="1:4" x14ac:dyDescent="0.3">
      <c r="A33" s="88"/>
      <c r="B33" s="88"/>
    </row>
    <row r="34" spans="1:4" x14ac:dyDescent="0.3">
      <c r="A34" s="315"/>
      <c r="B34" s="316" t="s">
        <v>39</v>
      </c>
      <c r="C34" s="317"/>
      <c r="D34" s="317"/>
    </row>
    <row r="35" spans="1:4" x14ac:dyDescent="0.3">
      <c r="A35" s="315" t="s">
        <v>189</v>
      </c>
      <c r="B35" s="318">
        <f>B38+B39</f>
        <v>227746.59</v>
      </c>
      <c r="C35" s="317"/>
      <c r="D35" s="317"/>
    </row>
    <row r="36" spans="1:4" x14ac:dyDescent="0.3">
      <c r="A36" s="317"/>
      <c r="B36" s="317"/>
      <c r="C36" s="317"/>
      <c r="D36" s="317"/>
    </row>
    <row r="37" spans="1:4" x14ac:dyDescent="0.3">
      <c r="A37" s="319"/>
      <c r="B37" s="319" t="s">
        <v>77</v>
      </c>
      <c r="C37" s="319" t="s">
        <v>78</v>
      </c>
      <c r="D37" s="317"/>
    </row>
    <row r="38" spans="1:4" x14ac:dyDescent="0.3">
      <c r="A38" s="319" t="s">
        <v>314</v>
      </c>
      <c r="B38" s="320">
        <f>C38/1.2</f>
        <v>203610</v>
      </c>
      <c r="C38" s="320">
        <v>244332</v>
      </c>
      <c r="D38" s="317"/>
    </row>
    <row r="39" spans="1:4" x14ac:dyDescent="0.3">
      <c r="A39" s="319" t="s">
        <v>313</v>
      </c>
      <c r="B39" s="320">
        <v>24136.59</v>
      </c>
      <c r="C39" s="320">
        <f>B39*1.2</f>
        <v>28963.907999999999</v>
      </c>
      <c r="D39" s="317"/>
    </row>
    <row r="40" spans="1:4" x14ac:dyDescent="0.3">
      <c r="A40" s="317"/>
      <c r="B40" s="317"/>
      <c r="C40" s="317"/>
      <c r="D40" s="317"/>
    </row>
    <row r="41" spans="1:4" x14ac:dyDescent="0.3">
      <c r="A41" s="319" t="s">
        <v>315</v>
      </c>
      <c r="B41" s="321">
        <v>0.81</v>
      </c>
      <c r="C41" s="317"/>
      <c r="D41" s="317"/>
    </row>
    <row r="42" spans="1:4" x14ac:dyDescent="0.3">
      <c r="A42" s="319" t="s">
        <v>270</v>
      </c>
      <c r="B42" s="321">
        <f>1-B41</f>
        <v>0.18999999999999995</v>
      </c>
      <c r="C42" s="317"/>
      <c r="D42" s="317"/>
    </row>
    <row r="43" spans="1:4" x14ac:dyDescent="0.3">
      <c r="A43" s="317"/>
      <c r="B43" s="317"/>
      <c r="C43" s="317"/>
      <c r="D43" s="317"/>
    </row>
    <row r="44" spans="1:4" x14ac:dyDescent="0.3">
      <c r="A44" s="317"/>
      <c r="B44" s="317"/>
      <c r="C44" s="317"/>
      <c r="D44" s="317"/>
    </row>
    <row r="45" spans="1:4" x14ac:dyDescent="0.3">
      <c r="A45" s="317" t="s">
        <v>318</v>
      </c>
      <c r="B45" s="322">
        <v>43983</v>
      </c>
      <c r="C45" s="323">
        <v>3643.25</v>
      </c>
      <c r="D45" s="317" t="s">
        <v>316</v>
      </c>
    </row>
    <row r="46" spans="1:4" x14ac:dyDescent="0.3">
      <c r="A46" s="317"/>
      <c r="B46" s="322">
        <v>43862</v>
      </c>
      <c r="C46" s="323">
        <v>31126.75</v>
      </c>
      <c r="D46" s="317" t="s">
        <v>317</v>
      </c>
    </row>
    <row r="47" spans="1:4" x14ac:dyDescent="0.3">
      <c r="A47" s="317"/>
      <c r="B47" s="317"/>
      <c r="C47" s="324">
        <f>SUM(C45:C46)</f>
        <v>34770</v>
      </c>
      <c r="D47" s="317"/>
    </row>
    <row r="48" spans="1:4" x14ac:dyDescent="0.3">
      <c r="A48" s="317"/>
      <c r="B48" s="317"/>
      <c r="C48" s="317"/>
      <c r="D48" s="317"/>
    </row>
    <row r="49" spans="1:4" x14ac:dyDescent="0.3">
      <c r="A49" s="317" t="s">
        <v>319</v>
      </c>
      <c r="B49" s="317"/>
      <c r="C49" s="325">
        <f>B39*B42</f>
        <v>4585.9520999999986</v>
      </c>
      <c r="D49" s="317" t="s">
        <v>320</v>
      </c>
    </row>
    <row r="50" spans="1:4" x14ac:dyDescent="0.3">
      <c r="A50" s="317"/>
      <c r="B50" s="317"/>
      <c r="C50" s="317"/>
      <c r="D50" s="317"/>
    </row>
    <row r="51" spans="1:4" x14ac:dyDescent="0.3">
      <c r="A51" s="317" t="s">
        <v>321</v>
      </c>
      <c r="B51" s="317"/>
      <c r="C51" s="326">
        <v>39000</v>
      </c>
      <c r="D51" s="317"/>
    </row>
  </sheetData>
  <mergeCells count="1">
    <mergeCell ref="A3:A6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3A4F-E397-4627-9EFA-92106C7A9380}">
  <sheetPr>
    <tabColor rgb="FF92D050"/>
  </sheetPr>
  <dimension ref="A1:H684"/>
  <sheetViews>
    <sheetView topLeftCell="A10" workbookViewId="0">
      <selection activeCell="E29" sqref="E29"/>
    </sheetView>
  </sheetViews>
  <sheetFormatPr baseColWidth="10" defaultColWidth="9.109375" defaultRowHeight="14.4" x14ac:dyDescent="0.3"/>
  <cols>
    <col min="1" max="1" width="27.33203125" style="265" customWidth="1"/>
    <col min="2" max="4" width="17" style="267" customWidth="1"/>
    <col min="5" max="5" width="25" style="267" customWidth="1"/>
    <col min="6" max="6" width="16.44140625" style="265" customWidth="1"/>
    <col min="7" max="7" width="15" style="265" customWidth="1"/>
    <col min="8" max="8" width="13.109375" style="265" customWidth="1"/>
    <col min="9" max="9" width="13.44140625" style="265" customWidth="1"/>
    <col min="10" max="10" width="8.6640625" style="265" customWidth="1"/>
    <col min="11" max="16384" width="9.109375" style="265"/>
  </cols>
  <sheetData>
    <row r="1" spans="1:8" x14ac:dyDescent="0.3">
      <c r="A1" s="264" t="s">
        <v>294</v>
      </c>
      <c r="B1" s="265"/>
      <c r="C1" s="265"/>
      <c r="D1" s="265"/>
      <c r="E1" s="290"/>
    </row>
    <row r="2" spans="1:8" x14ac:dyDescent="0.3">
      <c r="A2" s="266"/>
      <c r="B2" s="266"/>
      <c r="C2" s="266"/>
      <c r="D2" s="266"/>
      <c r="E2" s="266"/>
    </row>
    <row r="3" spans="1:8" x14ac:dyDescent="0.3">
      <c r="A3" s="460" t="s">
        <v>40</v>
      </c>
      <c r="B3" s="276" t="s">
        <v>45</v>
      </c>
      <c r="C3" s="311" t="s">
        <v>45</v>
      </c>
      <c r="D3" s="311" t="s">
        <v>45</v>
      </c>
      <c r="E3" s="276" t="s">
        <v>45</v>
      </c>
      <c r="F3" s="302"/>
      <c r="G3" s="266"/>
      <c r="H3" s="266"/>
    </row>
    <row r="4" spans="1:8" x14ac:dyDescent="0.3">
      <c r="A4" s="460"/>
      <c r="B4" s="276">
        <v>2023</v>
      </c>
      <c r="C4" s="311">
        <v>2023</v>
      </c>
      <c r="D4" s="311">
        <v>2023</v>
      </c>
      <c r="E4" s="276">
        <v>2023</v>
      </c>
      <c r="F4" s="302"/>
      <c r="G4" s="266"/>
      <c r="H4" s="266"/>
    </row>
    <row r="5" spans="1:8" x14ac:dyDescent="0.3">
      <c r="A5" s="460"/>
      <c r="B5" s="276"/>
      <c r="C5" s="311"/>
      <c r="D5" s="311"/>
      <c r="E5" s="276"/>
      <c r="F5" s="302"/>
      <c r="G5" s="266"/>
      <c r="H5" s="266"/>
    </row>
    <row r="6" spans="1:8" ht="63" customHeight="1" x14ac:dyDescent="0.3">
      <c r="A6" s="460"/>
      <c r="B6" s="276" t="s">
        <v>286</v>
      </c>
      <c r="C6" s="311" t="s">
        <v>127</v>
      </c>
      <c r="D6" s="311" t="s">
        <v>301</v>
      </c>
      <c r="E6" s="276" t="s">
        <v>298</v>
      </c>
      <c r="F6" s="302"/>
      <c r="G6" s="266"/>
      <c r="H6" s="266"/>
    </row>
    <row r="7" spans="1:8" x14ac:dyDescent="0.3">
      <c r="A7" s="277" t="s">
        <v>49</v>
      </c>
      <c r="B7" s="291">
        <f>($B$33-$B$28)*('ANNEXE 1 Grille'!C5/'ANNEXE 1 Grille'!C$42)</f>
        <v>3764.7542539960027</v>
      </c>
      <c r="C7" s="291"/>
      <c r="D7" s="291">
        <f>($D$29)*('ANNEXE 1 Grille'!C5/'ANNEXE 1 Grille'!C$42)</f>
        <v>93.278876542246337</v>
      </c>
      <c r="E7" s="291">
        <f t="shared" ref="E7:E30" si="0">B7+C7</f>
        <v>3764.7542539960027</v>
      </c>
      <c r="F7" s="302"/>
      <c r="G7" s="266"/>
      <c r="H7" s="266"/>
    </row>
    <row r="8" spans="1:8" x14ac:dyDescent="0.3">
      <c r="A8" s="278" t="s">
        <v>50</v>
      </c>
      <c r="B8" s="292"/>
      <c r="C8" s="292"/>
      <c r="D8" s="292"/>
      <c r="E8" s="292">
        <f t="shared" si="0"/>
        <v>0</v>
      </c>
      <c r="F8" s="302"/>
      <c r="G8" s="266"/>
      <c r="H8" s="266"/>
    </row>
    <row r="9" spans="1:8" x14ac:dyDescent="0.3">
      <c r="A9" s="277" t="s">
        <v>51</v>
      </c>
      <c r="B9" s="291">
        <f>($B$33-$B$28)*('ANNEXE 1 Grille'!C7/'ANNEXE 1 Grille'!C$42)</f>
        <v>2372.4363790388438</v>
      </c>
      <c r="C9" s="291"/>
      <c r="D9" s="291">
        <f>($D$29)*('ANNEXE 1 Grille'!C7/'ANNEXE 1 Grille'!C$42)</f>
        <v>58.781579134894898</v>
      </c>
      <c r="E9" s="291">
        <f t="shared" si="0"/>
        <v>2372.4363790388438</v>
      </c>
      <c r="F9" s="302"/>
      <c r="G9" s="266"/>
      <c r="H9" s="266"/>
    </row>
    <row r="10" spans="1:8" x14ac:dyDescent="0.3">
      <c r="A10" s="268" t="s">
        <v>52</v>
      </c>
      <c r="B10" s="291">
        <f>($B$33-$B$28)*('ANNEXE 1 Grille'!C8/'ANNEXE 1 Grille'!C$42)</f>
        <v>1218.2781405875141</v>
      </c>
      <c r="C10" s="291"/>
      <c r="D10" s="291">
        <f>($D$29)*('ANNEXE 1 Grille'!C8/'ANNEXE 1 Grille'!C$42)</f>
        <v>30.185135231432511</v>
      </c>
      <c r="E10" s="291">
        <f t="shared" si="0"/>
        <v>1218.2781405875141</v>
      </c>
      <c r="F10" s="302"/>
      <c r="G10" s="266"/>
      <c r="H10" s="266"/>
    </row>
    <row r="11" spans="1:8" x14ac:dyDescent="0.3">
      <c r="A11" s="277" t="s">
        <v>53</v>
      </c>
      <c r="B11" s="291">
        <f>($B$33-$B$28)*('ANNEXE 1 Grille'!C9/'ANNEXE 1 Grille'!C$42)</f>
        <v>12943.060245489909</v>
      </c>
      <c r="C11" s="291">
        <f>11*397*B37</f>
        <v>4470.0100071479628</v>
      </c>
      <c r="D11" s="291">
        <f>($D$29)*('ANNEXE 1 Grille'!C9/'ANNEXE 1 Grille'!C$42)</f>
        <v>320.68869234597105</v>
      </c>
      <c r="E11" s="291">
        <f t="shared" si="0"/>
        <v>17413.070252637874</v>
      </c>
      <c r="F11" s="302"/>
      <c r="G11" s="266"/>
      <c r="H11" s="266"/>
    </row>
    <row r="12" spans="1:8" x14ac:dyDescent="0.3">
      <c r="A12" s="277" t="s">
        <v>54</v>
      </c>
      <c r="B12" s="291">
        <f>($B$33-$B$28)*('ANNEXE 1 Grille'!C10/'ANNEXE 1 Grille'!C$42)</f>
        <v>7657.7483122643762</v>
      </c>
      <c r="C12" s="291">
        <f>7*397*B37</f>
        <v>2844.551822730522</v>
      </c>
      <c r="D12" s="291">
        <f>($D$29)*('ANNEXE 1 Grille'!C10/'ANNEXE 1 Grille'!C$42)</f>
        <v>189.73513574043295</v>
      </c>
      <c r="E12" s="291">
        <f t="shared" si="0"/>
        <v>10502.300134994897</v>
      </c>
      <c r="F12" s="302"/>
      <c r="G12" s="266"/>
      <c r="H12" s="266"/>
    </row>
    <row r="13" spans="1:8" x14ac:dyDescent="0.3">
      <c r="A13" s="277" t="s">
        <v>55</v>
      </c>
      <c r="B13" s="291">
        <f>($B$33-$B$28)*('ANNEXE 1 Grille'!C11/'ANNEXE 1 Grille'!C$42)</f>
        <v>375.55942679765485</v>
      </c>
      <c r="C13" s="291"/>
      <c r="D13" s="291">
        <f>($D$29)*('ANNEXE 1 Grille'!C11/'ANNEXE 1 Grille'!C$42)</f>
        <v>9.3051920638250625</v>
      </c>
      <c r="E13" s="291">
        <f t="shared" si="0"/>
        <v>375.55942679765485</v>
      </c>
      <c r="F13" s="302"/>
      <c r="G13" s="266"/>
      <c r="H13" s="266"/>
    </row>
    <row r="14" spans="1:8" x14ac:dyDescent="0.3">
      <c r="A14" s="278" t="s">
        <v>56</v>
      </c>
      <c r="B14" s="292"/>
      <c r="C14" s="292"/>
      <c r="D14" s="292"/>
      <c r="E14" s="292">
        <f t="shared" si="0"/>
        <v>0</v>
      </c>
      <c r="F14" s="302"/>
      <c r="G14" s="266"/>
      <c r="H14" s="266"/>
    </row>
    <row r="15" spans="1:8" x14ac:dyDescent="0.3">
      <c r="A15" s="278" t="s">
        <v>57</v>
      </c>
      <c r="B15" s="292"/>
      <c r="C15" s="292"/>
      <c r="D15" s="292"/>
      <c r="E15" s="292">
        <f t="shared" si="0"/>
        <v>0</v>
      </c>
      <c r="F15" s="302"/>
      <c r="G15" s="266"/>
      <c r="H15" s="266"/>
    </row>
    <row r="16" spans="1:8" x14ac:dyDescent="0.3">
      <c r="A16" s="278" t="s">
        <v>58</v>
      </c>
      <c r="B16" s="292"/>
      <c r="C16" s="292"/>
      <c r="D16" s="292"/>
      <c r="E16" s="292">
        <f t="shared" si="0"/>
        <v>0</v>
      </c>
      <c r="F16" s="302"/>
      <c r="G16" s="266"/>
      <c r="H16" s="266"/>
    </row>
    <row r="17" spans="1:8" x14ac:dyDescent="0.3">
      <c r="A17" s="277" t="s">
        <v>59</v>
      </c>
      <c r="B17" s="291">
        <f>($B$33-$B$28)*('ANNEXE 1 Grille'!C15/'ANNEXE 1 Grille'!C$42)</f>
        <v>1896.117106027184</v>
      </c>
      <c r="C17" s="291"/>
      <c r="D17" s="291">
        <f>($D$29)*('ANNEXE 1 Grille'!C15/'ANNEXE 1 Grille'!C$42)</f>
        <v>46.979872127116771</v>
      </c>
      <c r="E17" s="291">
        <f t="shared" si="0"/>
        <v>1896.117106027184</v>
      </c>
      <c r="F17" s="302"/>
      <c r="G17" s="266"/>
      <c r="H17" s="266"/>
    </row>
    <row r="18" spans="1:8" x14ac:dyDescent="0.3">
      <c r="A18" s="278" t="s">
        <v>60</v>
      </c>
      <c r="B18" s="292"/>
      <c r="C18" s="292"/>
      <c r="D18" s="292"/>
      <c r="E18" s="292">
        <f t="shared" si="0"/>
        <v>0</v>
      </c>
      <c r="F18" s="302"/>
      <c r="G18" s="266"/>
      <c r="H18" s="266"/>
    </row>
    <row r="19" spans="1:8" x14ac:dyDescent="0.3">
      <c r="A19" s="277" t="s">
        <v>61</v>
      </c>
      <c r="B19" s="291">
        <f>($B$33-$B$28)*('ANNEXE 1 Grille'!C17/'ANNEXE 1 Grille'!C$42)</f>
        <v>5862.3910524511966</v>
      </c>
      <c r="C19" s="291">
        <f>4*397*B37</f>
        <v>1625.4581844174411</v>
      </c>
      <c r="D19" s="291">
        <f>($D$29)*('ANNEXE 1 Grille'!C17/'ANNEXE 1 Grille'!C$42)</f>
        <v>145.25177855726923</v>
      </c>
      <c r="E19" s="291">
        <f t="shared" si="0"/>
        <v>7487.8492368686375</v>
      </c>
      <c r="F19" s="302"/>
      <c r="G19" s="266"/>
      <c r="H19" s="266"/>
    </row>
    <row r="20" spans="1:8" x14ac:dyDescent="0.3">
      <c r="A20" s="277" t="s">
        <v>62</v>
      </c>
      <c r="B20" s="291">
        <f>($B$33-$B$28)*('ANNEXE 1 Grille'!C18/'ANNEXE 1 Grille'!C$42)</f>
        <v>8555.426942170965</v>
      </c>
      <c r="C20" s="291">
        <f>7*397*B37</f>
        <v>2844.551822730522</v>
      </c>
      <c r="D20" s="291">
        <f>($D$29)*('ANNEXE 1 Grille'!C18/'ANNEXE 1 Grille'!C$42)</f>
        <v>211.97681433201481</v>
      </c>
      <c r="E20" s="291">
        <f t="shared" si="0"/>
        <v>11399.978764901487</v>
      </c>
      <c r="F20" s="302"/>
      <c r="G20" s="266"/>
      <c r="H20" s="266"/>
    </row>
    <row r="21" spans="1:8" x14ac:dyDescent="0.3">
      <c r="A21" s="278" t="s">
        <v>63</v>
      </c>
      <c r="B21" s="292"/>
      <c r="C21" s="292"/>
      <c r="D21" s="292"/>
      <c r="E21" s="292">
        <f t="shared" si="0"/>
        <v>0</v>
      </c>
      <c r="F21" s="302"/>
      <c r="G21" s="266"/>
      <c r="H21" s="266"/>
    </row>
    <row r="22" spans="1:8" x14ac:dyDescent="0.3">
      <c r="A22" s="277" t="s">
        <v>64</v>
      </c>
      <c r="B22" s="291">
        <f>($B$33-$B$28)*('ANNEXE 1 Grille'!C20/'ANNEXE 1 Grille'!C$42)</f>
        <v>3984.5939184629228</v>
      </c>
      <c r="C22" s="291">
        <f>1*397*B37</f>
        <v>406.36454610436027</v>
      </c>
      <c r="D22" s="291">
        <f>($D$29)*('ANNEXE 1 Grille'!C20/'ANNEXE 1 Grille'!C$42)</f>
        <v>98.725818238143944</v>
      </c>
      <c r="E22" s="291">
        <f t="shared" si="0"/>
        <v>4390.958464567283</v>
      </c>
      <c r="F22" s="302"/>
      <c r="G22" s="266"/>
      <c r="H22" s="266"/>
    </row>
    <row r="23" spans="1:8" x14ac:dyDescent="0.3">
      <c r="A23" s="277" t="s">
        <v>65</v>
      </c>
      <c r="B23" s="291">
        <f>($B$33-$B$28)*('ANNEXE 1 Grille'!C21/'ANNEXE 1 Grille'!C$42)</f>
        <v>1520.5576792295294</v>
      </c>
      <c r="C23" s="291"/>
      <c r="D23" s="291">
        <f>($D$29)*('ANNEXE 1 Grille'!C21/'ANNEXE 1 Grille'!C$42)</f>
        <v>37.674680063291717</v>
      </c>
      <c r="E23" s="291">
        <f t="shared" si="0"/>
        <v>1520.5576792295294</v>
      </c>
      <c r="F23" s="302"/>
      <c r="G23" s="266"/>
      <c r="H23" s="266"/>
    </row>
    <row r="24" spans="1:8" x14ac:dyDescent="0.3">
      <c r="A24" s="278" t="s">
        <v>66</v>
      </c>
      <c r="B24" s="292"/>
      <c r="C24" s="292"/>
      <c r="D24" s="292"/>
      <c r="E24" s="292">
        <f t="shared" si="0"/>
        <v>0</v>
      </c>
      <c r="F24" s="302"/>
      <c r="G24" s="266"/>
      <c r="H24" s="266"/>
    </row>
    <row r="25" spans="1:8" x14ac:dyDescent="0.3">
      <c r="A25" s="277" t="s">
        <v>67</v>
      </c>
      <c r="B25" s="291">
        <f>($B$33-$B$28)*('ANNEXE 1 Grille'!C23/'ANNEXE 1 Grille'!C$42)</f>
        <v>2812.115707972684</v>
      </c>
      <c r="C25" s="291"/>
      <c r="D25" s="291">
        <f>($D$29)*('ANNEXE 1 Grille'!C23/'ANNEXE 1 Grille'!C$42)</f>
        <v>69.675462526690097</v>
      </c>
      <c r="E25" s="291">
        <f t="shared" si="0"/>
        <v>2812.115707972684</v>
      </c>
      <c r="F25" s="302"/>
      <c r="G25" s="266"/>
      <c r="H25" s="266"/>
    </row>
    <row r="26" spans="1:8" x14ac:dyDescent="0.3">
      <c r="A26" s="277" t="s">
        <v>68</v>
      </c>
      <c r="B26" s="291">
        <f>($B$33-$B$28)*('ANNEXE 1 Grille'!C24/'ANNEXE 1 Grille'!C$42)</f>
        <v>5651.7113740037321</v>
      </c>
      <c r="C26" s="291">
        <f>3*397*B37</f>
        <v>1219.0936383130809</v>
      </c>
      <c r="D26" s="291">
        <f>($D$29)*('ANNEXE 1 Grille'!C24/'ANNEXE 1 Grille'!C$42)</f>
        <v>140.03179276536738</v>
      </c>
      <c r="E26" s="291">
        <f t="shared" si="0"/>
        <v>6870.8050123168132</v>
      </c>
      <c r="F26" s="302"/>
      <c r="G26" s="266"/>
      <c r="H26" s="266"/>
    </row>
    <row r="27" spans="1:8" x14ac:dyDescent="0.3">
      <c r="A27" s="277" t="s">
        <v>69</v>
      </c>
      <c r="B27" s="291">
        <f>($B$33-$B$28)*('ANNEXE 1 Grille'!C25/'ANNEXE 1 Grille'!C$42)</f>
        <v>6989.0693328441621</v>
      </c>
      <c r="C27" s="291">
        <f>6*397*B37</f>
        <v>2438.1872766261617</v>
      </c>
      <c r="D27" s="291">
        <f>($D$29)*('ANNEXE 1 Grille'!C25/'ANNEXE 1 Grille'!C$42)</f>
        <v>173.16735474874446</v>
      </c>
      <c r="E27" s="291">
        <f t="shared" si="0"/>
        <v>9427.2566094703234</v>
      </c>
      <c r="F27" s="302"/>
      <c r="G27" s="266"/>
      <c r="H27" s="266"/>
    </row>
    <row r="28" spans="1:8" x14ac:dyDescent="0.3">
      <c r="A28" s="281" t="s">
        <v>129</v>
      </c>
      <c r="B28" s="298">
        <f>B33*B39</f>
        <v>43735.879914224453</v>
      </c>
      <c r="C28" s="298">
        <v>0</v>
      </c>
      <c r="D28" s="298">
        <v>0</v>
      </c>
      <c r="E28" s="298">
        <f>B28+C28+D28</f>
        <v>43735.879914224453</v>
      </c>
      <c r="F28" s="302"/>
      <c r="G28" s="266"/>
      <c r="H28" s="266"/>
    </row>
    <row r="29" spans="1:8" x14ac:dyDescent="0.3">
      <c r="A29" s="279" t="s">
        <v>72</v>
      </c>
      <c r="B29" s="293">
        <f>SUM(B7:B28)</f>
        <v>109339.69978556113</v>
      </c>
      <c r="C29" s="293">
        <f t="shared" ref="C29" si="1">SUM(C7:C28)</f>
        <v>15848.217298070051</v>
      </c>
      <c r="D29" s="293">
        <f>4*397*B37</f>
        <v>1625.4581844174411</v>
      </c>
      <c r="E29" s="298">
        <f>B29+C29+D29</f>
        <v>126813.37526804862</v>
      </c>
      <c r="F29" s="302"/>
      <c r="G29" s="266"/>
      <c r="H29" s="266"/>
    </row>
    <row r="30" spans="1:8" ht="28.8" x14ac:dyDescent="0.3">
      <c r="A30" s="299" t="s">
        <v>130</v>
      </c>
      <c r="B30" s="300">
        <f>B29-B28</f>
        <v>65603.819871336673</v>
      </c>
      <c r="C30" s="300">
        <f t="shared" ref="C30" si="2">C29-C28</f>
        <v>15848.217298070051</v>
      </c>
      <c r="D30" s="300"/>
      <c r="E30" s="295">
        <f t="shared" si="0"/>
        <v>81452.037169406729</v>
      </c>
      <c r="F30" s="302"/>
      <c r="G30" s="266"/>
      <c r="H30" s="266"/>
    </row>
    <row r="31" spans="1:8" x14ac:dyDescent="0.3">
      <c r="A31" s="280"/>
      <c r="B31" s="280"/>
      <c r="C31" s="270"/>
      <c r="D31" s="270"/>
      <c r="E31" s="270"/>
      <c r="F31" s="302"/>
      <c r="G31" s="266"/>
      <c r="H31" s="266"/>
    </row>
    <row r="32" spans="1:8" x14ac:dyDescent="0.3">
      <c r="A32" s="281" t="s">
        <v>125</v>
      </c>
      <c r="B32" s="276" t="s">
        <v>39</v>
      </c>
      <c r="C32" s="297" t="s">
        <v>283</v>
      </c>
      <c r="D32" s="297"/>
      <c r="E32" s="266"/>
      <c r="F32" s="302"/>
      <c r="G32" s="266"/>
      <c r="H32" s="266"/>
    </row>
    <row r="33" spans="1:8" ht="15" customHeight="1" x14ac:dyDescent="0.3">
      <c r="A33" s="282" t="s">
        <v>201</v>
      </c>
      <c r="B33" s="283">
        <f>B35*B37</f>
        <v>109339.69978556113</v>
      </c>
      <c r="C33" s="297" t="b">
        <f>B33=B29</f>
        <v>1</v>
      </c>
      <c r="D33" s="297"/>
      <c r="E33" s="266"/>
      <c r="F33" s="302"/>
      <c r="G33" s="266"/>
      <c r="H33" s="266"/>
    </row>
    <row r="34" spans="1:8" x14ac:dyDescent="0.3">
      <c r="A34" s="282" t="s">
        <v>202</v>
      </c>
      <c r="B34" s="283">
        <f>B33*1.2</f>
        <v>131207.63974267335</v>
      </c>
      <c r="C34" s="297"/>
      <c r="D34" s="297"/>
      <c r="E34" s="266"/>
      <c r="F34" s="302"/>
      <c r="G34" s="266"/>
      <c r="H34" s="266"/>
    </row>
    <row r="35" spans="1:8" ht="15" customHeight="1" x14ac:dyDescent="0.3">
      <c r="A35" s="282" t="s">
        <v>142</v>
      </c>
      <c r="B35" s="283">
        <v>106820</v>
      </c>
      <c r="C35" s="297"/>
      <c r="D35" s="297"/>
      <c r="E35" s="266"/>
      <c r="F35" s="302"/>
      <c r="G35" s="266"/>
      <c r="H35" s="266"/>
    </row>
    <row r="36" spans="1:8" x14ac:dyDescent="0.3">
      <c r="A36" s="282" t="s">
        <v>143</v>
      </c>
      <c r="B36" s="283">
        <f>B35*1.2</f>
        <v>128184</v>
      </c>
      <c r="C36" s="297"/>
      <c r="D36" s="297"/>
      <c r="E36" s="266"/>
    </row>
    <row r="37" spans="1:8" ht="15" customHeight="1" x14ac:dyDescent="0.3">
      <c r="A37" s="282" t="s">
        <v>285</v>
      </c>
      <c r="B37" s="271">
        <f>'Indice Syntec'!C4</f>
        <v>1.0235882773409579</v>
      </c>
      <c r="C37" s="297" t="s">
        <v>268</v>
      </c>
      <c r="D37" s="297"/>
      <c r="E37" s="266"/>
    </row>
    <row r="38" spans="1:8" x14ac:dyDescent="0.3">
      <c r="A38" s="266"/>
      <c r="B38" s="265"/>
      <c r="C38" s="266"/>
      <c r="D38" s="266"/>
      <c r="E38" s="266"/>
    </row>
    <row r="39" spans="1:8" x14ac:dyDescent="0.3">
      <c r="A39" s="282" t="s">
        <v>269</v>
      </c>
      <c r="B39" s="274">
        <v>0.4</v>
      </c>
      <c r="C39" s="266"/>
      <c r="D39" s="266"/>
      <c r="E39" s="266"/>
    </row>
    <row r="40" spans="1:8" x14ac:dyDescent="0.3">
      <c r="A40" s="282" t="s">
        <v>270</v>
      </c>
      <c r="B40" s="274">
        <f>1-B39</f>
        <v>0.6</v>
      </c>
      <c r="C40" s="266"/>
      <c r="D40" s="266"/>
      <c r="E40" s="266"/>
    </row>
    <row r="41" spans="1:8" x14ac:dyDescent="0.3">
      <c r="A41" s="273"/>
      <c r="B41" s="265"/>
      <c r="C41" s="265"/>
      <c r="D41" s="265"/>
      <c r="E41" s="265"/>
    </row>
    <row r="42" spans="1:8" x14ac:dyDescent="0.3">
      <c r="B42" s="265"/>
      <c r="C42" s="265"/>
      <c r="D42" s="265"/>
      <c r="E42" s="265"/>
    </row>
    <row r="43" spans="1:8" x14ac:dyDescent="0.3">
      <c r="B43" s="265"/>
      <c r="C43" s="265"/>
      <c r="D43" s="265"/>
      <c r="E43" s="265"/>
    </row>
    <row r="44" spans="1:8" x14ac:dyDescent="0.3">
      <c r="B44" s="265"/>
      <c r="C44" s="265"/>
      <c r="D44" s="265"/>
      <c r="E44" s="265"/>
    </row>
    <row r="45" spans="1:8" x14ac:dyDescent="0.3">
      <c r="B45" s="265"/>
      <c r="C45" s="265"/>
      <c r="D45" s="265"/>
      <c r="E45" s="265"/>
    </row>
    <row r="46" spans="1:8" x14ac:dyDescent="0.3">
      <c r="B46" s="265"/>
      <c r="C46" s="265"/>
      <c r="D46" s="265"/>
      <c r="E46" s="265"/>
    </row>
    <row r="47" spans="1:8" x14ac:dyDescent="0.3">
      <c r="B47" s="265"/>
      <c r="C47" s="265"/>
      <c r="D47" s="265"/>
      <c r="E47" s="265"/>
    </row>
    <row r="48" spans="1:8" x14ac:dyDescent="0.3">
      <c r="B48" s="265"/>
      <c r="C48" s="265"/>
      <c r="D48" s="265"/>
      <c r="E48" s="265"/>
    </row>
    <row r="49" s="265" customFormat="1" x14ac:dyDescent="0.3"/>
    <row r="50" s="265" customFormat="1" x14ac:dyDescent="0.3"/>
    <row r="51" s="265" customFormat="1" x14ac:dyDescent="0.3"/>
    <row r="52" s="265" customFormat="1" x14ac:dyDescent="0.3"/>
    <row r="53" s="265" customFormat="1" x14ac:dyDescent="0.3"/>
    <row r="54" s="265" customFormat="1" x14ac:dyDescent="0.3"/>
    <row r="55" s="265" customFormat="1" x14ac:dyDescent="0.3"/>
    <row r="56" s="265" customFormat="1" x14ac:dyDescent="0.3"/>
    <row r="57" s="265" customFormat="1" x14ac:dyDescent="0.3"/>
    <row r="58" s="265" customFormat="1" x14ac:dyDescent="0.3"/>
    <row r="59" s="265" customFormat="1" x14ac:dyDescent="0.3"/>
    <row r="60" s="265" customFormat="1" x14ac:dyDescent="0.3"/>
    <row r="61" s="265" customFormat="1" x14ac:dyDescent="0.3"/>
    <row r="62" s="265" customFormat="1" x14ac:dyDescent="0.3"/>
    <row r="63" s="265" customFormat="1" x14ac:dyDescent="0.3"/>
    <row r="64" s="265" customFormat="1" x14ac:dyDescent="0.3"/>
    <row r="65" s="265" customFormat="1" x14ac:dyDescent="0.3"/>
    <row r="66" s="265" customFormat="1" x14ac:dyDescent="0.3"/>
    <row r="67" s="265" customFormat="1" x14ac:dyDescent="0.3"/>
    <row r="68" s="265" customFormat="1" x14ac:dyDescent="0.3"/>
    <row r="69" s="265" customFormat="1" x14ac:dyDescent="0.3"/>
    <row r="70" s="265" customFormat="1" x14ac:dyDescent="0.3"/>
    <row r="71" s="265" customFormat="1" x14ac:dyDescent="0.3"/>
    <row r="72" s="265" customFormat="1" x14ac:dyDescent="0.3"/>
    <row r="73" s="265" customFormat="1" x14ac:dyDescent="0.3"/>
    <row r="74" s="265" customFormat="1" x14ac:dyDescent="0.3"/>
    <row r="75" s="265" customFormat="1" x14ac:dyDescent="0.3"/>
    <row r="76" s="265" customFormat="1" x14ac:dyDescent="0.3"/>
    <row r="77" s="265" customFormat="1" x14ac:dyDescent="0.3"/>
    <row r="78" s="265" customFormat="1" x14ac:dyDescent="0.3"/>
    <row r="79" s="265" customFormat="1" x14ac:dyDescent="0.3"/>
    <row r="80" s="265" customFormat="1" x14ac:dyDescent="0.3"/>
    <row r="81" s="265" customFormat="1" x14ac:dyDescent="0.3"/>
    <row r="82" s="265" customFormat="1" x14ac:dyDescent="0.3"/>
    <row r="83" s="265" customFormat="1" x14ac:dyDescent="0.3"/>
    <row r="84" s="265" customFormat="1" x14ac:dyDescent="0.3"/>
    <row r="85" s="265" customFormat="1" x14ac:dyDescent="0.3"/>
    <row r="86" s="265" customFormat="1" x14ac:dyDescent="0.3"/>
    <row r="87" s="265" customFormat="1" x14ac:dyDescent="0.3"/>
    <row r="88" s="265" customFormat="1" x14ac:dyDescent="0.3"/>
    <row r="89" s="265" customFormat="1" x14ac:dyDescent="0.3"/>
    <row r="90" s="265" customFormat="1" x14ac:dyDescent="0.3"/>
    <row r="91" s="265" customFormat="1" x14ac:dyDescent="0.3"/>
    <row r="92" s="265" customFormat="1" x14ac:dyDescent="0.3"/>
    <row r="93" s="265" customFormat="1" x14ac:dyDescent="0.3"/>
    <row r="94" s="265" customFormat="1" x14ac:dyDescent="0.3"/>
    <row r="95" s="265" customFormat="1" x14ac:dyDescent="0.3"/>
    <row r="96" s="265" customFormat="1" x14ac:dyDescent="0.3"/>
    <row r="97" s="265" customFormat="1" x14ac:dyDescent="0.3"/>
    <row r="98" s="265" customFormat="1" x14ac:dyDescent="0.3"/>
    <row r="99" s="265" customFormat="1" x14ac:dyDescent="0.3"/>
    <row r="100" s="265" customFormat="1" x14ac:dyDescent="0.3"/>
    <row r="101" s="265" customFormat="1" x14ac:dyDescent="0.3"/>
    <row r="102" s="265" customFormat="1" x14ac:dyDescent="0.3"/>
    <row r="103" s="265" customFormat="1" x14ac:dyDescent="0.3"/>
    <row r="104" s="265" customFormat="1" x14ac:dyDescent="0.3"/>
    <row r="105" s="265" customFormat="1" x14ac:dyDescent="0.3"/>
    <row r="106" s="265" customFormat="1" x14ac:dyDescent="0.3"/>
    <row r="107" s="265" customFormat="1" x14ac:dyDescent="0.3"/>
    <row r="108" s="265" customFormat="1" x14ac:dyDescent="0.3"/>
    <row r="109" s="265" customFormat="1" x14ac:dyDescent="0.3"/>
    <row r="110" s="265" customFormat="1" x14ac:dyDescent="0.3"/>
    <row r="111" s="265" customFormat="1" x14ac:dyDescent="0.3"/>
    <row r="112" s="265" customFormat="1" x14ac:dyDescent="0.3"/>
    <row r="113" s="265" customFormat="1" x14ac:dyDescent="0.3"/>
    <row r="114" s="265" customFormat="1" x14ac:dyDescent="0.3"/>
    <row r="115" s="265" customFormat="1" x14ac:dyDescent="0.3"/>
    <row r="116" s="265" customFormat="1" x14ac:dyDescent="0.3"/>
    <row r="117" s="265" customFormat="1" x14ac:dyDescent="0.3"/>
    <row r="118" s="265" customFormat="1" x14ac:dyDescent="0.3"/>
    <row r="119" s="265" customFormat="1" x14ac:dyDescent="0.3"/>
    <row r="120" s="265" customFormat="1" x14ac:dyDescent="0.3"/>
    <row r="121" s="265" customFormat="1" x14ac:dyDescent="0.3"/>
    <row r="122" s="265" customFormat="1" x14ac:dyDescent="0.3"/>
    <row r="123" s="265" customFormat="1" x14ac:dyDescent="0.3"/>
    <row r="124" s="265" customFormat="1" x14ac:dyDescent="0.3"/>
    <row r="125" s="265" customFormat="1" x14ac:dyDescent="0.3"/>
    <row r="126" s="265" customFormat="1" x14ac:dyDescent="0.3"/>
    <row r="127" s="265" customFormat="1" x14ac:dyDescent="0.3"/>
    <row r="128" s="265" customFormat="1" x14ac:dyDescent="0.3"/>
    <row r="129" s="265" customFormat="1" x14ac:dyDescent="0.3"/>
    <row r="130" s="265" customFormat="1" x14ac:dyDescent="0.3"/>
    <row r="131" s="265" customFormat="1" x14ac:dyDescent="0.3"/>
    <row r="132" s="265" customFormat="1" x14ac:dyDescent="0.3"/>
    <row r="133" s="265" customFormat="1" x14ac:dyDescent="0.3"/>
    <row r="134" s="265" customFormat="1" x14ac:dyDescent="0.3"/>
    <row r="135" s="265" customFormat="1" x14ac:dyDescent="0.3"/>
    <row r="136" s="265" customFormat="1" x14ac:dyDescent="0.3"/>
    <row r="137" s="265" customFormat="1" x14ac:dyDescent="0.3"/>
    <row r="138" s="265" customFormat="1" x14ac:dyDescent="0.3"/>
    <row r="139" s="265" customFormat="1" x14ac:dyDescent="0.3"/>
    <row r="140" s="265" customFormat="1" x14ac:dyDescent="0.3"/>
    <row r="141" s="265" customFormat="1" x14ac:dyDescent="0.3"/>
    <row r="142" s="265" customFormat="1" x14ac:dyDescent="0.3"/>
    <row r="143" s="265" customFormat="1" x14ac:dyDescent="0.3"/>
    <row r="144" s="265" customFormat="1" x14ac:dyDescent="0.3"/>
    <row r="145" s="265" customFormat="1" x14ac:dyDescent="0.3"/>
    <row r="146" s="265" customFormat="1" x14ac:dyDescent="0.3"/>
    <row r="147" s="265" customFormat="1" x14ac:dyDescent="0.3"/>
    <row r="148" s="265" customFormat="1" x14ac:dyDescent="0.3"/>
    <row r="149" s="265" customFormat="1" x14ac:dyDescent="0.3"/>
    <row r="150" s="265" customFormat="1" x14ac:dyDescent="0.3"/>
    <row r="151" s="265" customFormat="1" x14ac:dyDescent="0.3"/>
    <row r="152" s="265" customFormat="1" x14ac:dyDescent="0.3"/>
    <row r="153" s="265" customFormat="1" x14ac:dyDescent="0.3"/>
    <row r="154" s="265" customFormat="1" x14ac:dyDescent="0.3"/>
    <row r="155" s="265" customFormat="1" x14ac:dyDescent="0.3"/>
    <row r="156" s="265" customFormat="1" x14ac:dyDescent="0.3"/>
    <row r="157" s="265" customFormat="1" x14ac:dyDescent="0.3"/>
    <row r="158" s="265" customFormat="1" x14ac:dyDescent="0.3"/>
    <row r="159" s="265" customFormat="1" x14ac:dyDescent="0.3"/>
    <row r="160" s="265" customFormat="1" x14ac:dyDescent="0.3"/>
    <row r="161" s="265" customFormat="1" x14ac:dyDescent="0.3"/>
    <row r="162" s="265" customFormat="1" x14ac:dyDescent="0.3"/>
    <row r="163" s="265" customFormat="1" x14ac:dyDescent="0.3"/>
    <row r="164" s="265" customFormat="1" x14ac:dyDescent="0.3"/>
    <row r="165" s="265" customFormat="1" x14ac:dyDescent="0.3"/>
    <row r="166" s="265" customFormat="1" x14ac:dyDescent="0.3"/>
    <row r="167" s="265" customFormat="1" x14ac:dyDescent="0.3"/>
    <row r="168" s="265" customFormat="1" x14ac:dyDescent="0.3"/>
    <row r="169" s="265" customFormat="1" x14ac:dyDescent="0.3"/>
    <row r="170" s="265" customFormat="1" x14ac:dyDescent="0.3"/>
    <row r="171" s="265" customFormat="1" x14ac:dyDescent="0.3"/>
    <row r="172" s="265" customFormat="1" x14ac:dyDescent="0.3"/>
    <row r="173" s="265" customFormat="1" x14ac:dyDescent="0.3"/>
    <row r="174" s="265" customFormat="1" x14ac:dyDescent="0.3"/>
    <row r="175" s="265" customFormat="1" x14ac:dyDescent="0.3"/>
    <row r="176" s="265" customFormat="1" x14ac:dyDescent="0.3"/>
    <row r="177" s="265" customFormat="1" x14ac:dyDescent="0.3"/>
    <row r="178" s="265" customFormat="1" x14ac:dyDescent="0.3"/>
    <row r="179" s="265" customFormat="1" x14ac:dyDescent="0.3"/>
    <row r="180" s="265" customFormat="1" x14ac:dyDescent="0.3"/>
    <row r="181" s="265" customFormat="1" x14ac:dyDescent="0.3"/>
    <row r="182" s="265" customFormat="1" x14ac:dyDescent="0.3"/>
    <row r="183" s="265" customFormat="1" x14ac:dyDescent="0.3"/>
    <row r="184" s="265" customFormat="1" x14ac:dyDescent="0.3"/>
    <row r="185" s="265" customFormat="1" x14ac:dyDescent="0.3"/>
    <row r="186" s="265" customFormat="1" x14ac:dyDescent="0.3"/>
    <row r="187" s="265" customFormat="1" x14ac:dyDescent="0.3"/>
    <row r="188" s="265" customFormat="1" x14ac:dyDescent="0.3"/>
    <row r="189" s="265" customFormat="1" x14ac:dyDescent="0.3"/>
    <row r="190" s="265" customFormat="1" x14ac:dyDescent="0.3"/>
    <row r="191" s="265" customFormat="1" x14ac:dyDescent="0.3"/>
    <row r="192" s="265" customFormat="1" x14ac:dyDescent="0.3"/>
    <row r="193" s="265" customFormat="1" x14ac:dyDescent="0.3"/>
    <row r="194" s="265" customFormat="1" x14ac:dyDescent="0.3"/>
    <row r="195" s="265" customFormat="1" x14ac:dyDescent="0.3"/>
    <row r="196" s="265" customFormat="1" x14ac:dyDescent="0.3"/>
    <row r="197" s="265" customFormat="1" x14ac:dyDescent="0.3"/>
    <row r="198" s="265" customFormat="1" x14ac:dyDescent="0.3"/>
    <row r="199" s="265" customFormat="1" x14ac:dyDescent="0.3"/>
    <row r="200" s="265" customFormat="1" x14ac:dyDescent="0.3"/>
    <row r="201" s="265" customFormat="1" x14ac:dyDescent="0.3"/>
    <row r="202" s="265" customFormat="1" x14ac:dyDescent="0.3"/>
    <row r="203" s="265" customFormat="1" x14ac:dyDescent="0.3"/>
    <row r="204" s="265" customFormat="1" x14ac:dyDescent="0.3"/>
    <row r="205" s="265" customFormat="1" x14ac:dyDescent="0.3"/>
    <row r="206" s="265" customFormat="1" x14ac:dyDescent="0.3"/>
    <row r="207" s="265" customFormat="1" x14ac:dyDescent="0.3"/>
    <row r="208" s="265" customFormat="1" x14ac:dyDescent="0.3"/>
    <row r="209" s="265" customFormat="1" x14ac:dyDescent="0.3"/>
    <row r="210" s="265" customFormat="1" x14ac:dyDescent="0.3"/>
    <row r="211" s="265" customFormat="1" x14ac:dyDescent="0.3"/>
    <row r="212" s="265" customFormat="1" x14ac:dyDescent="0.3"/>
    <row r="213" s="265" customFormat="1" x14ac:dyDescent="0.3"/>
    <row r="214" s="265" customFormat="1" x14ac:dyDescent="0.3"/>
    <row r="215" s="265" customFormat="1" x14ac:dyDescent="0.3"/>
    <row r="216" s="265" customFormat="1" x14ac:dyDescent="0.3"/>
    <row r="217" s="265" customFormat="1" x14ac:dyDescent="0.3"/>
    <row r="218" s="265" customFormat="1" x14ac:dyDescent="0.3"/>
    <row r="219" s="265" customFormat="1" x14ac:dyDescent="0.3"/>
    <row r="220" s="265" customFormat="1" x14ac:dyDescent="0.3"/>
    <row r="221" s="265" customFormat="1" x14ac:dyDescent="0.3"/>
    <row r="222" s="265" customFormat="1" x14ac:dyDescent="0.3"/>
    <row r="223" s="265" customFormat="1" x14ac:dyDescent="0.3"/>
    <row r="224" s="265" customFormat="1" x14ac:dyDescent="0.3"/>
    <row r="225" s="265" customFormat="1" x14ac:dyDescent="0.3"/>
    <row r="226" s="265" customFormat="1" x14ac:dyDescent="0.3"/>
    <row r="227" s="265" customFormat="1" x14ac:dyDescent="0.3"/>
    <row r="228" s="265" customFormat="1" x14ac:dyDescent="0.3"/>
    <row r="229" s="265" customFormat="1" x14ac:dyDescent="0.3"/>
    <row r="230" s="265" customFormat="1" x14ac:dyDescent="0.3"/>
    <row r="231" s="265" customFormat="1" x14ac:dyDescent="0.3"/>
    <row r="232" s="265" customFormat="1" x14ac:dyDescent="0.3"/>
    <row r="233" s="265" customFormat="1" x14ac:dyDescent="0.3"/>
    <row r="234" s="265" customFormat="1" x14ac:dyDescent="0.3"/>
    <row r="235" s="265" customFormat="1" x14ac:dyDescent="0.3"/>
    <row r="236" s="265" customFormat="1" x14ac:dyDescent="0.3"/>
    <row r="237" s="265" customFormat="1" x14ac:dyDescent="0.3"/>
    <row r="238" s="265" customFormat="1" x14ac:dyDescent="0.3"/>
    <row r="239" s="265" customFormat="1" x14ac:dyDescent="0.3"/>
    <row r="240" s="265" customFormat="1" x14ac:dyDescent="0.3"/>
    <row r="241" s="265" customFormat="1" x14ac:dyDescent="0.3"/>
    <row r="242" s="265" customFormat="1" x14ac:dyDescent="0.3"/>
    <row r="243" s="265" customFormat="1" x14ac:dyDescent="0.3"/>
    <row r="244" s="265" customFormat="1" x14ac:dyDescent="0.3"/>
    <row r="245" s="265" customFormat="1" x14ac:dyDescent="0.3"/>
    <row r="246" s="265" customFormat="1" x14ac:dyDescent="0.3"/>
    <row r="247" s="265" customFormat="1" x14ac:dyDescent="0.3"/>
    <row r="248" s="265" customFormat="1" x14ac:dyDescent="0.3"/>
    <row r="249" s="265" customFormat="1" x14ac:dyDescent="0.3"/>
    <row r="250" s="265" customFormat="1" x14ac:dyDescent="0.3"/>
    <row r="251" s="265" customFormat="1" x14ac:dyDescent="0.3"/>
    <row r="252" s="265" customFormat="1" x14ac:dyDescent="0.3"/>
    <row r="253" s="265" customFormat="1" x14ac:dyDescent="0.3"/>
    <row r="254" s="265" customFormat="1" x14ac:dyDescent="0.3"/>
    <row r="255" s="265" customFormat="1" x14ac:dyDescent="0.3"/>
    <row r="256" s="265" customFormat="1" x14ac:dyDescent="0.3"/>
    <row r="257" s="265" customFormat="1" x14ac:dyDescent="0.3"/>
    <row r="258" s="265" customFormat="1" x14ac:dyDescent="0.3"/>
    <row r="259" s="265" customFormat="1" x14ac:dyDescent="0.3"/>
    <row r="260" s="265" customFormat="1" x14ac:dyDescent="0.3"/>
    <row r="261" s="265" customFormat="1" x14ac:dyDescent="0.3"/>
    <row r="262" s="265" customFormat="1" x14ac:dyDescent="0.3"/>
    <row r="263" s="265" customFormat="1" x14ac:dyDescent="0.3"/>
    <row r="264" s="265" customFormat="1" x14ac:dyDescent="0.3"/>
    <row r="265" s="265" customFormat="1" x14ac:dyDescent="0.3"/>
    <row r="266" s="265" customFormat="1" x14ac:dyDescent="0.3"/>
    <row r="267" s="265" customFormat="1" x14ac:dyDescent="0.3"/>
    <row r="268" s="265" customFormat="1" x14ac:dyDescent="0.3"/>
    <row r="269" s="265" customFormat="1" x14ac:dyDescent="0.3"/>
    <row r="270" s="265" customFormat="1" x14ac:dyDescent="0.3"/>
    <row r="271" s="265" customFormat="1" x14ac:dyDescent="0.3"/>
    <row r="272" s="265" customFormat="1" x14ac:dyDescent="0.3"/>
    <row r="273" s="265" customFormat="1" x14ac:dyDescent="0.3"/>
    <row r="274" s="265" customFormat="1" x14ac:dyDescent="0.3"/>
    <row r="275" s="265" customFormat="1" x14ac:dyDescent="0.3"/>
    <row r="276" s="265" customFormat="1" x14ac:dyDescent="0.3"/>
    <row r="277" s="265" customFormat="1" x14ac:dyDescent="0.3"/>
    <row r="278" s="265" customFormat="1" x14ac:dyDescent="0.3"/>
    <row r="279" s="265" customFormat="1" x14ac:dyDescent="0.3"/>
    <row r="280" s="265" customFormat="1" x14ac:dyDescent="0.3"/>
    <row r="281" s="265" customFormat="1" x14ac:dyDescent="0.3"/>
    <row r="282" s="265" customFormat="1" x14ac:dyDescent="0.3"/>
    <row r="283" s="265" customFormat="1" x14ac:dyDescent="0.3"/>
    <row r="284" s="265" customFormat="1" x14ac:dyDescent="0.3"/>
    <row r="285" s="265" customFormat="1" x14ac:dyDescent="0.3"/>
    <row r="286" s="265" customFormat="1" x14ac:dyDescent="0.3"/>
    <row r="287" s="265" customFormat="1" x14ac:dyDescent="0.3"/>
    <row r="288" s="265" customFormat="1" x14ac:dyDescent="0.3"/>
    <row r="289" s="265" customFormat="1" x14ac:dyDescent="0.3"/>
    <row r="290" s="265" customFormat="1" x14ac:dyDescent="0.3"/>
    <row r="291" s="265" customFormat="1" x14ac:dyDescent="0.3"/>
    <row r="292" s="265" customFormat="1" x14ac:dyDescent="0.3"/>
    <row r="293" s="265" customFormat="1" x14ac:dyDescent="0.3"/>
    <row r="294" s="265" customFormat="1" x14ac:dyDescent="0.3"/>
    <row r="295" s="265" customFormat="1" x14ac:dyDescent="0.3"/>
    <row r="296" s="265" customFormat="1" x14ac:dyDescent="0.3"/>
    <row r="297" s="265" customFormat="1" x14ac:dyDescent="0.3"/>
    <row r="298" s="265" customFormat="1" x14ac:dyDescent="0.3"/>
    <row r="299" s="265" customFormat="1" x14ac:dyDescent="0.3"/>
    <row r="300" s="265" customFormat="1" x14ac:dyDescent="0.3"/>
    <row r="301" s="265" customFormat="1" x14ac:dyDescent="0.3"/>
    <row r="302" s="265" customFormat="1" x14ac:dyDescent="0.3"/>
    <row r="303" s="265" customFormat="1" x14ac:dyDescent="0.3"/>
    <row r="304" s="265" customFormat="1" x14ac:dyDescent="0.3"/>
    <row r="305" s="265" customFormat="1" x14ac:dyDescent="0.3"/>
    <row r="306" s="265" customFormat="1" x14ac:dyDescent="0.3"/>
    <row r="307" s="265" customFormat="1" x14ac:dyDescent="0.3"/>
    <row r="308" s="265" customFormat="1" x14ac:dyDescent="0.3"/>
    <row r="309" s="265" customFormat="1" x14ac:dyDescent="0.3"/>
    <row r="310" s="265" customFormat="1" x14ac:dyDescent="0.3"/>
    <row r="311" s="265" customFormat="1" x14ac:dyDescent="0.3"/>
    <row r="312" s="265" customFormat="1" x14ac:dyDescent="0.3"/>
    <row r="313" s="265" customFormat="1" x14ac:dyDescent="0.3"/>
    <row r="314" s="265" customFormat="1" x14ac:dyDescent="0.3"/>
    <row r="315" s="265" customFormat="1" x14ac:dyDescent="0.3"/>
    <row r="316" s="265" customFormat="1" x14ac:dyDescent="0.3"/>
    <row r="317" s="265" customFormat="1" x14ac:dyDescent="0.3"/>
    <row r="318" s="265" customFormat="1" x14ac:dyDescent="0.3"/>
    <row r="319" s="265" customFormat="1" x14ac:dyDescent="0.3"/>
    <row r="320" s="265" customFormat="1" x14ac:dyDescent="0.3"/>
    <row r="321" s="265" customFormat="1" x14ac:dyDescent="0.3"/>
    <row r="322" s="265" customFormat="1" x14ac:dyDescent="0.3"/>
    <row r="323" s="265" customFormat="1" x14ac:dyDescent="0.3"/>
    <row r="324" s="265" customFormat="1" x14ac:dyDescent="0.3"/>
    <row r="325" s="265" customFormat="1" x14ac:dyDescent="0.3"/>
    <row r="326" s="265" customFormat="1" x14ac:dyDescent="0.3"/>
    <row r="327" s="265" customFormat="1" x14ac:dyDescent="0.3"/>
    <row r="328" s="265" customFormat="1" x14ac:dyDescent="0.3"/>
    <row r="329" s="265" customFormat="1" x14ac:dyDescent="0.3"/>
    <row r="330" s="265" customFormat="1" x14ac:dyDescent="0.3"/>
    <row r="331" s="265" customFormat="1" x14ac:dyDescent="0.3"/>
    <row r="332" s="265" customFormat="1" x14ac:dyDescent="0.3"/>
    <row r="333" s="265" customFormat="1" x14ac:dyDescent="0.3"/>
    <row r="334" s="265" customFormat="1" x14ac:dyDescent="0.3"/>
    <row r="335" s="265" customFormat="1" x14ac:dyDescent="0.3"/>
    <row r="336" s="265" customFormat="1" x14ac:dyDescent="0.3"/>
    <row r="337" s="265" customFormat="1" x14ac:dyDescent="0.3"/>
    <row r="338" s="265" customFormat="1" x14ac:dyDescent="0.3"/>
    <row r="339" s="265" customFormat="1" x14ac:dyDescent="0.3"/>
    <row r="340" s="265" customFormat="1" x14ac:dyDescent="0.3"/>
    <row r="341" s="265" customFormat="1" x14ac:dyDescent="0.3"/>
    <row r="342" s="265" customFormat="1" x14ac:dyDescent="0.3"/>
    <row r="343" s="265" customFormat="1" x14ac:dyDescent="0.3"/>
    <row r="344" s="265" customFormat="1" x14ac:dyDescent="0.3"/>
    <row r="345" s="265" customFormat="1" x14ac:dyDescent="0.3"/>
    <row r="346" s="265" customFormat="1" x14ac:dyDescent="0.3"/>
    <row r="347" s="265" customFormat="1" x14ac:dyDescent="0.3"/>
    <row r="348" s="265" customFormat="1" x14ac:dyDescent="0.3"/>
    <row r="349" s="265" customFormat="1" x14ac:dyDescent="0.3"/>
    <row r="350" s="265" customFormat="1" x14ac:dyDescent="0.3"/>
    <row r="351" s="265" customFormat="1" x14ac:dyDescent="0.3"/>
    <row r="352" s="265" customFormat="1" x14ac:dyDescent="0.3"/>
    <row r="353" s="265" customFormat="1" x14ac:dyDescent="0.3"/>
    <row r="354" s="265" customFormat="1" x14ac:dyDescent="0.3"/>
    <row r="355" s="265" customFormat="1" x14ac:dyDescent="0.3"/>
    <row r="356" s="265" customFormat="1" x14ac:dyDescent="0.3"/>
    <row r="357" s="265" customFormat="1" x14ac:dyDescent="0.3"/>
    <row r="358" s="265" customFormat="1" x14ac:dyDescent="0.3"/>
    <row r="359" s="265" customFormat="1" x14ac:dyDescent="0.3"/>
    <row r="360" s="265" customFormat="1" x14ac:dyDescent="0.3"/>
    <row r="361" s="265" customFormat="1" x14ac:dyDescent="0.3"/>
    <row r="362" s="265" customFormat="1" x14ac:dyDescent="0.3"/>
    <row r="363" s="265" customFormat="1" x14ac:dyDescent="0.3"/>
    <row r="364" s="265" customFormat="1" x14ac:dyDescent="0.3"/>
    <row r="365" s="265" customFormat="1" x14ac:dyDescent="0.3"/>
    <row r="366" s="265" customFormat="1" x14ac:dyDescent="0.3"/>
    <row r="367" s="265" customFormat="1" x14ac:dyDescent="0.3"/>
    <row r="368" s="265" customFormat="1" x14ac:dyDescent="0.3"/>
    <row r="369" s="265" customFormat="1" x14ac:dyDescent="0.3"/>
    <row r="370" s="265" customFormat="1" x14ac:dyDescent="0.3"/>
    <row r="371" s="265" customFormat="1" x14ac:dyDescent="0.3"/>
    <row r="372" s="265" customFormat="1" x14ac:dyDescent="0.3"/>
    <row r="373" s="265" customFormat="1" x14ac:dyDescent="0.3"/>
    <row r="374" s="265" customFormat="1" x14ac:dyDescent="0.3"/>
    <row r="375" s="265" customFormat="1" x14ac:dyDescent="0.3"/>
    <row r="376" s="265" customFormat="1" x14ac:dyDescent="0.3"/>
    <row r="377" s="265" customFormat="1" x14ac:dyDescent="0.3"/>
    <row r="378" s="265" customFormat="1" x14ac:dyDescent="0.3"/>
    <row r="379" s="265" customFormat="1" x14ac:dyDescent="0.3"/>
    <row r="380" s="265" customFormat="1" x14ac:dyDescent="0.3"/>
    <row r="381" s="265" customFormat="1" x14ac:dyDescent="0.3"/>
    <row r="382" s="265" customFormat="1" x14ac:dyDescent="0.3"/>
    <row r="383" s="265" customFormat="1" x14ac:dyDescent="0.3"/>
    <row r="384" s="265" customFormat="1" x14ac:dyDescent="0.3"/>
    <row r="385" s="265" customFormat="1" x14ac:dyDescent="0.3"/>
    <row r="386" s="265" customFormat="1" x14ac:dyDescent="0.3"/>
    <row r="387" s="265" customFormat="1" x14ac:dyDescent="0.3"/>
    <row r="388" s="265" customFormat="1" x14ac:dyDescent="0.3"/>
    <row r="389" s="265" customFormat="1" x14ac:dyDescent="0.3"/>
    <row r="390" s="265" customFormat="1" x14ac:dyDescent="0.3"/>
    <row r="391" s="265" customFormat="1" x14ac:dyDescent="0.3"/>
    <row r="392" s="265" customFormat="1" x14ac:dyDescent="0.3"/>
    <row r="393" s="265" customFormat="1" x14ac:dyDescent="0.3"/>
    <row r="394" s="265" customFormat="1" x14ac:dyDescent="0.3"/>
    <row r="395" s="265" customFormat="1" x14ac:dyDescent="0.3"/>
    <row r="396" s="265" customFormat="1" x14ac:dyDescent="0.3"/>
    <row r="397" s="265" customFormat="1" x14ac:dyDescent="0.3"/>
    <row r="398" s="265" customFormat="1" x14ac:dyDescent="0.3"/>
    <row r="399" s="265" customFormat="1" x14ac:dyDescent="0.3"/>
    <row r="400" s="265" customFormat="1" x14ac:dyDescent="0.3"/>
    <row r="401" s="265" customFormat="1" x14ac:dyDescent="0.3"/>
    <row r="402" s="265" customFormat="1" x14ac:dyDescent="0.3"/>
    <row r="403" s="265" customFormat="1" x14ac:dyDescent="0.3"/>
    <row r="404" s="265" customFormat="1" x14ac:dyDescent="0.3"/>
    <row r="405" s="265" customFormat="1" x14ac:dyDescent="0.3"/>
    <row r="406" s="265" customFormat="1" x14ac:dyDescent="0.3"/>
    <row r="407" s="265" customFormat="1" x14ac:dyDescent="0.3"/>
    <row r="408" s="265" customFormat="1" x14ac:dyDescent="0.3"/>
    <row r="409" s="265" customFormat="1" x14ac:dyDescent="0.3"/>
    <row r="410" s="265" customFormat="1" x14ac:dyDescent="0.3"/>
    <row r="411" s="265" customFormat="1" x14ac:dyDescent="0.3"/>
    <row r="412" s="265" customFormat="1" x14ac:dyDescent="0.3"/>
    <row r="413" s="265" customFormat="1" x14ac:dyDescent="0.3"/>
    <row r="414" s="265" customFormat="1" x14ac:dyDescent="0.3"/>
    <row r="415" s="265" customFormat="1" x14ac:dyDescent="0.3"/>
    <row r="416" s="265" customFormat="1" x14ac:dyDescent="0.3"/>
    <row r="417" s="265" customFormat="1" x14ac:dyDescent="0.3"/>
    <row r="418" s="265" customFormat="1" x14ac:dyDescent="0.3"/>
    <row r="419" s="265" customFormat="1" x14ac:dyDescent="0.3"/>
    <row r="420" s="265" customFormat="1" x14ac:dyDescent="0.3"/>
    <row r="421" s="265" customFormat="1" x14ac:dyDescent="0.3"/>
    <row r="422" s="265" customFormat="1" x14ac:dyDescent="0.3"/>
    <row r="423" s="265" customFormat="1" x14ac:dyDescent="0.3"/>
    <row r="424" s="265" customFormat="1" x14ac:dyDescent="0.3"/>
    <row r="425" s="265" customFormat="1" x14ac:dyDescent="0.3"/>
    <row r="426" s="265" customFormat="1" x14ac:dyDescent="0.3"/>
    <row r="427" s="265" customFormat="1" x14ac:dyDescent="0.3"/>
    <row r="428" s="265" customFormat="1" x14ac:dyDescent="0.3"/>
    <row r="429" s="265" customFormat="1" x14ac:dyDescent="0.3"/>
    <row r="430" s="265" customFormat="1" x14ac:dyDescent="0.3"/>
    <row r="431" s="265" customFormat="1" x14ac:dyDescent="0.3"/>
    <row r="432" s="265" customFormat="1" x14ac:dyDescent="0.3"/>
    <row r="433" s="265" customFormat="1" x14ac:dyDescent="0.3"/>
    <row r="434" s="265" customFormat="1" x14ac:dyDescent="0.3"/>
    <row r="435" s="265" customFormat="1" x14ac:dyDescent="0.3"/>
    <row r="436" s="265" customFormat="1" x14ac:dyDescent="0.3"/>
    <row r="437" s="265" customFormat="1" x14ac:dyDescent="0.3"/>
    <row r="438" s="265" customFormat="1" x14ac:dyDescent="0.3"/>
    <row r="439" s="265" customFormat="1" x14ac:dyDescent="0.3"/>
    <row r="440" s="265" customFormat="1" x14ac:dyDescent="0.3"/>
    <row r="441" s="265" customFormat="1" x14ac:dyDescent="0.3"/>
    <row r="442" s="265" customFormat="1" x14ac:dyDescent="0.3"/>
    <row r="443" s="265" customFormat="1" x14ac:dyDescent="0.3"/>
    <row r="444" s="265" customFormat="1" x14ac:dyDescent="0.3"/>
    <row r="445" s="265" customFormat="1" x14ac:dyDescent="0.3"/>
    <row r="446" s="265" customFormat="1" x14ac:dyDescent="0.3"/>
    <row r="447" s="265" customFormat="1" x14ac:dyDescent="0.3"/>
    <row r="448" s="265" customFormat="1" x14ac:dyDescent="0.3"/>
    <row r="449" s="265" customFormat="1" x14ac:dyDescent="0.3"/>
    <row r="450" s="265" customFormat="1" x14ac:dyDescent="0.3"/>
    <row r="451" s="265" customFormat="1" x14ac:dyDescent="0.3"/>
    <row r="452" s="265" customFormat="1" x14ac:dyDescent="0.3"/>
    <row r="453" s="265" customFormat="1" x14ac:dyDescent="0.3"/>
    <row r="454" s="265" customFormat="1" x14ac:dyDescent="0.3"/>
    <row r="455" s="265" customFormat="1" x14ac:dyDescent="0.3"/>
    <row r="456" s="265" customFormat="1" x14ac:dyDescent="0.3"/>
    <row r="457" s="265" customFormat="1" x14ac:dyDescent="0.3"/>
    <row r="458" s="265" customFormat="1" x14ac:dyDescent="0.3"/>
    <row r="459" s="265" customFormat="1" x14ac:dyDescent="0.3"/>
    <row r="460" s="265" customFormat="1" x14ac:dyDescent="0.3"/>
    <row r="461" s="265" customFormat="1" x14ac:dyDescent="0.3"/>
    <row r="462" s="265" customFormat="1" x14ac:dyDescent="0.3"/>
    <row r="463" s="265" customFormat="1" x14ac:dyDescent="0.3"/>
    <row r="464" s="265" customFormat="1" x14ac:dyDescent="0.3"/>
    <row r="465" s="265" customFormat="1" x14ac:dyDescent="0.3"/>
    <row r="466" s="265" customFormat="1" x14ac:dyDescent="0.3"/>
    <row r="467" s="265" customFormat="1" x14ac:dyDescent="0.3"/>
    <row r="468" s="265" customFormat="1" x14ac:dyDescent="0.3"/>
    <row r="469" s="265" customFormat="1" x14ac:dyDescent="0.3"/>
    <row r="470" s="265" customFormat="1" x14ac:dyDescent="0.3"/>
    <row r="471" s="265" customFormat="1" x14ac:dyDescent="0.3"/>
    <row r="472" s="265" customFormat="1" x14ac:dyDescent="0.3"/>
    <row r="473" s="265" customFormat="1" x14ac:dyDescent="0.3"/>
    <row r="474" s="265" customFormat="1" x14ac:dyDescent="0.3"/>
    <row r="475" s="265" customFormat="1" x14ac:dyDescent="0.3"/>
    <row r="476" s="265" customFormat="1" x14ac:dyDescent="0.3"/>
    <row r="477" s="265" customFormat="1" x14ac:dyDescent="0.3"/>
    <row r="478" s="265" customFormat="1" x14ac:dyDescent="0.3"/>
    <row r="479" s="265" customFormat="1" x14ac:dyDescent="0.3"/>
    <row r="480" s="265" customFormat="1" x14ac:dyDescent="0.3"/>
    <row r="481" s="265" customFormat="1" x14ac:dyDescent="0.3"/>
    <row r="482" s="265" customFormat="1" x14ac:dyDescent="0.3"/>
    <row r="483" s="265" customFormat="1" x14ac:dyDescent="0.3"/>
    <row r="484" s="265" customFormat="1" x14ac:dyDescent="0.3"/>
    <row r="485" s="265" customFormat="1" x14ac:dyDescent="0.3"/>
    <row r="486" s="265" customFormat="1" x14ac:dyDescent="0.3"/>
    <row r="487" s="265" customFormat="1" x14ac:dyDescent="0.3"/>
    <row r="488" s="265" customFormat="1" x14ac:dyDescent="0.3"/>
    <row r="489" s="265" customFormat="1" x14ac:dyDescent="0.3"/>
    <row r="490" s="265" customFormat="1" x14ac:dyDescent="0.3"/>
    <row r="491" s="265" customFormat="1" x14ac:dyDescent="0.3"/>
    <row r="492" s="265" customFormat="1" x14ac:dyDescent="0.3"/>
    <row r="493" s="265" customFormat="1" x14ac:dyDescent="0.3"/>
    <row r="494" s="265" customFormat="1" x14ac:dyDescent="0.3"/>
    <row r="495" s="265" customFormat="1" x14ac:dyDescent="0.3"/>
    <row r="496" s="265" customFormat="1" x14ac:dyDescent="0.3"/>
    <row r="497" s="265" customFormat="1" x14ac:dyDescent="0.3"/>
    <row r="498" s="265" customFormat="1" x14ac:dyDescent="0.3"/>
    <row r="499" s="265" customFormat="1" x14ac:dyDescent="0.3"/>
    <row r="500" s="265" customFormat="1" x14ac:dyDescent="0.3"/>
    <row r="501" s="265" customFormat="1" x14ac:dyDescent="0.3"/>
    <row r="502" s="265" customFormat="1" x14ac:dyDescent="0.3"/>
    <row r="503" s="265" customFormat="1" x14ac:dyDescent="0.3"/>
    <row r="504" s="265" customFormat="1" x14ac:dyDescent="0.3"/>
    <row r="505" s="265" customFormat="1" x14ac:dyDescent="0.3"/>
    <row r="506" s="265" customFormat="1" x14ac:dyDescent="0.3"/>
    <row r="507" s="265" customFormat="1" x14ac:dyDescent="0.3"/>
    <row r="508" s="265" customFormat="1" x14ac:dyDescent="0.3"/>
    <row r="509" s="265" customFormat="1" x14ac:dyDescent="0.3"/>
    <row r="510" s="265" customFormat="1" x14ac:dyDescent="0.3"/>
    <row r="511" s="265" customFormat="1" x14ac:dyDescent="0.3"/>
    <row r="512" s="265" customFormat="1" x14ac:dyDescent="0.3"/>
    <row r="513" s="265" customFormat="1" x14ac:dyDescent="0.3"/>
    <row r="514" s="265" customFormat="1" x14ac:dyDescent="0.3"/>
    <row r="515" s="265" customFormat="1" x14ac:dyDescent="0.3"/>
    <row r="516" s="265" customFormat="1" x14ac:dyDescent="0.3"/>
    <row r="517" s="265" customFormat="1" x14ac:dyDescent="0.3"/>
    <row r="518" s="265" customFormat="1" x14ac:dyDescent="0.3"/>
    <row r="519" s="265" customFormat="1" x14ac:dyDescent="0.3"/>
    <row r="520" s="265" customFormat="1" x14ac:dyDescent="0.3"/>
    <row r="521" s="265" customFormat="1" x14ac:dyDescent="0.3"/>
    <row r="522" s="265" customFormat="1" x14ac:dyDescent="0.3"/>
    <row r="523" s="265" customFormat="1" x14ac:dyDescent="0.3"/>
    <row r="524" s="265" customFormat="1" x14ac:dyDescent="0.3"/>
    <row r="525" s="265" customFormat="1" x14ac:dyDescent="0.3"/>
    <row r="526" s="265" customFormat="1" x14ac:dyDescent="0.3"/>
    <row r="527" s="265" customFormat="1" x14ac:dyDescent="0.3"/>
    <row r="528" s="265" customFormat="1" x14ac:dyDescent="0.3"/>
    <row r="529" s="265" customFormat="1" x14ac:dyDescent="0.3"/>
    <row r="530" s="265" customFormat="1" x14ac:dyDescent="0.3"/>
    <row r="531" s="265" customFormat="1" x14ac:dyDescent="0.3"/>
    <row r="532" s="265" customFormat="1" x14ac:dyDescent="0.3"/>
    <row r="533" s="265" customFormat="1" x14ac:dyDescent="0.3"/>
    <row r="534" s="265" customFormat="1" x14ac:dyDescent="0.3"/>
    <row r="535" s="265" customFormat="1" x14ac:dyDescent="0.3"/>
    <row r="536" s="265" customFormat="1" x14ac:dyDescent="0.3"/>
    <row r="537" s="265" customFormat="1" x14ac:dyDescent="0.3"/>
    <row r="538" s="265" customFormat="1" x14ac:dyDescent="0.3"/>
    <row r="539" s="265" customFormat="1" x14ac:dyDescent="0.3"/>
    <row r="540" s="265" customFormat="1" x14ac:dyDescent="0.3"/>
    <row r="541" s="265" customFormat="1" x14ac:dyDescent="0.3"/>
    <row r="542" s="265" customFormat="1" x14ac:dyDescent="0.3"/>
    <row r="543" s="265" customFormat="1" x14ac:dyDescent="0.3"/>
    <row r="544" s="265" customFormat="1" x14ac:dyDescent="0.3"/>
    <row r="545" s="265" customFormat="1" x14ac:dyDescent="0.3"/>
    <row r="546" s="265" customFormat="1" x14ac:dyDescent="0.3"/>
    <row r="547" s="265" customFormat="1" x14ac:dyDescent="0.3"/>
    <row r="548" s="265" customFormat="1" x14ac:dyDescent="0.3"/>
    <row r="549" s="265" customFormat="1" x14ac:dyDescent="0.3"/>
    <row r="550" s="265" customFormat="1" x14ac:dyDescent="0.3"/>
    <row r="551" s="265" customFormat="1" x14ac:dyDescent="0.3"/>
    <row r="552" s="265" customFormat="1" x14ac:dyDescent="0.3"/>
    <row r="553" s="265" customFormat="1" x14ac:dyDescent="0.3"/>
    <row r="554" s="265" customFormat="1" x14ac:dyDescent="0.3"/>
    <row r="555" s="265" customFormat="1" x14ac:dyDescent="0.3"/>
    <row r="556" s="265" customFormat="1" x14ac:dyDescent="0.3"/>
    <row r="557" s="265" customFormat="1" x14ac:dyDescent="0.3"/>
    <row r="558" s="265" customFormat="1" x14ac:dyDescent="0.3"/>
    <row r="559" s="265" customFormat="1" x14ac:dyDescent="0.3"/>
    <row r="560" s="265" customFormat="1" x14ac:dyDescent="0.3"/>
    <row r="561" s="265" customFormat="1" x14ac:dyDescent="0.3"/>
    <row r="562" s="265" customFormat="1" x14ac:dyDescent="0.3"/>
    <row r="563" s="265" customFormat="1" x14ac:dyDescent="0.3"/>
    <row r="564" s="265" customFormat="1" x14ac:dyDescent="0.3"/>
    <row r="565" s="265" customFormat="1" x14ac:dyDescent="0.3"/>
    <row r="566" s="265" customFormat="1" x14ac:dyDescent="0.3"/>
    <row r="567" s="265" customFormat="1" x14ac:dyDescent="0.3"/>
    <row r="568" s="265" customFormat="1" x14ac:dyDescent="0.3"/>
    <row r="569" s="265" customFormat="1" x14ac:dyDescent="0.3"/>
    <row r="570" s="265" customFormat="1" x14ac:dyDescent="0.3"/>
    <row r="571" s="265" customFormat="1" x14ac:dyDescent="0.3"/>
    <row r="572" s="265" customFormat="1" x14ac:dyDescent="0.3"/>
    <row r="573" s="265" customFormat="1" x14ac:dyDescent="0.3"/>
    <row r="574" s="265" customFormat="1" x14ac:dyDescent="0.3"/>
    <row r="575" s="265" customFormat="1" x14ac:dyDescent="0.3"/>
    <row r="576" s="265" customFormat="1" x14ac:dyDescent="0.3"/>
    <row r="577" s="265" customFormat="1" x14ac:dyDescent="0.3"/>
    <row r="578" s="265" customFormat="1" x14ac:dyDescent="0.3"/>
    <row r="579" s="265" customFormat="1" x14ac:dyDescent="0.3"/>
    <row r="580" s="265" customFormat="1" x14ac:dyDescent="0.3"/>
    <row r="581" s="265" customFormat="1" x14ac:dyDescent="0.3"/>
    <row r="582" s="265" customFormat="1" x14ac:dyDescent="0.3"/>
    <row r="583" s="265" customFormat="1" x14ac:dyDescent="0.3"/>
    <row r="584" s="265" customFormat="1" x14ac:dyDescent="0.3"/>
    <row r="585" s="265" customFormat="1" x14ac:dyDescent="0.3"/>
    <row r="586" s="265" customFormat="1" x14ac:dyDescent="0.3"/>
    <row r="587" s="265" customFormat="1" x14ac:dyDescent="0.3"/>
    <row r="588" s="265" customFormat="1" x14ac:dyDescent="0.3"/>
    <row r="589" s="265" customFormat="1" x14ac:dyDescent="0.3"/>
    <row r="590" s="265" customFormat="1" x14ac:dyDescent="0.3"/>
    <row r="591" s="265" customFormat="1" x14ac:dyDescent="0.3"/>
    <row r="592" s="265" customFormat="1" x14ac:dyDescent="0.3"/>
    <row r="593" s="265" customFormat="1" x14ac:dyDescent="0.3"/>
    <row r="594" s="265" customFormat="1" x14ac:dyDescent="0.3"/>
    <row r="595" s="265" customFormat="1" x14ac:dyDescent="0.3"/>
    <row r="596" s="265" customFormat="1" x14ac:dyDescent="0.3"/>
    <row r="597" s="265" customFormat="1" x14ac:dyDescent="0.3"/>
    <row r="598" s="265" customFormat="1" x14ac:dyDescent="0.3"/>
    <row r="599" s="265" customFormat="1" x14ac:dyDescent="0.3"/>
    <row r="600" s="265" customFormat="1" x14ac:dyDescent="0.3"/>
    <row r="601" s="265" customFormat="1" x14ac:dyDescent="0.3"/>
    <row r="602" s="265" customFormat="1" x14ac:dyDescent="0.3"/>
    <row r="603" s="265" customFormat="1" x14ac:dyDescent="0.3"/>
    <row r="604" s="265" customFormat="1" x14ac:dyDescent="0.3"/>
    <row r="605" s="265" customFormat="1" x14ac:dyDescent="0.3"/>
    <row r="606" s="265" customFormat="1" x14ac:dyDescent="0.3"/>
    <row r="607" s="265" customFormat="1" x14ac:dyDescent="0.3"/>
    <row r="608" s="265" customFormat="1" x14ac:dyDescent="0.3"/>
    <row r="609" s="265" customFormat="1" x14ac:dyDescent="0.3"/>
    <row r="610" s="265" customFormat="1" x14ac:dyDescent="0.3"/>
    <row r="611" s="265" customFormat="1" x14ac:dyDescent="0.3"/>
    <row r="612" s="265" customFormat="1" x14ac:dyDescent="0.3"/>
    <row r="613" s="265" customFormat="1" x14ac:dyDescent="0.3"/>
    <row r="614" s="265" customFormat="1" x14ac:dyDescent="0.3"/>
    <row r="615" s="265" customFormat="1" x14ac:dyDescent="0.3"/>
    <row r="616" s="265" customFormat="1" x14ac:dyDescent="0.3"/>
    <row r="617" s="265" customFormat="1" x14ac:dyDescent="0.3"/>
    <row r="618" s="265" customFormat="1" x14ac:dyDescent="0.3"/>
    <row r="619" s="265" customFormat="1" x14ac:dyDescent="0.3"/>
    <row r="620" s="265" customFormat="1" x14ac:dyDescent="0.3"/>
    <row r="621" s="265" customFormat="1" x14ac:dyDescent="0.3"/>
    <row r="622" s="265" customFormat="1" x14ac:dyDescent="0.3"/>
    <row r="623" s="265" customFormat="1" x14ac:dyDescent="0.3"/>
    <row r="624" s="265" customFormat="1" x14ac:dyDescent="0.3"/>
    <row r="625" s="265" customFormat="1" x14ac:dyDescent="0.3"/>
    <row r="626" s="265" customFormat="1" x14ac:dyDescent="0.3"/>
    <row r="627" s="265" customFormat="1" x14ac:dyDescent="0.3"/>
    <row r="628" s="265" customFormat="1" x14ac:dyDescent="0.3"/>
    <row r="629" s="265" customFormat="1" x14ac:dyDescent="0.3"/>
    <row r="630" s="265" customFormat="1" x14ac:dyDescent="0.3"/>
    <row r="631" s="265" customFormat="1" x14ac:dyDescent="0.3"/>
    <row r="632" s="265" customFormat="1" x14ac:dyDescent="0.3"/>
    <row r="633" s="265" customFormat="1" x14ac:dyDescent="0.3"/>
    <row r="634" s="265" customFormat="1" x14ac:dyDescent="0.3"/>
    <row r="635" s="265" customFormat="1" x14ac:dyDescent="0.3"/>
    <row r="636" s="265" customFormat="1" x14ac:dyDescent="0.3"/>
    <row r="637" s="265" customFormat="1" x14ac:dyDescent="0.3"/>
    <row r="638" s="265" customFormat="1" x14ac:dyDescent="0.3"/>
    <row r="639" s="265" customFormat="1" x14ac:dyDescent="0.3"/>
    <row r="640" s="265" customFormat="1" x14ac:dyDescent="0.3"/>
    <row r="641" s="265" customFormat="1" x14ac:dyDescent="0.3"/>
    <row r="642" s="265" customFormat="1" x14ac:dyDescent="0.3"/>
    <row r="643" s="265" customFormat="1" x14ac:dyDescent="0.3"/>
    <row r="644" s="265" customFormat="1" x14ac:dyDescent="0.3"/>
    <row r="645" s="265" customFormat="1" x14ac:dyDescent="0.3"/>
    <row r="646" s="265" customFormat="1" x14ac:dyDescent="0.3"/>
    <row r="647" s="265" customFormat="1" x14ac:dyDescent="0.3"/>
    <row r="648" s="265" customFormat="1" x14ac:dyDescent="0.3"/>
    <row r="649" s="265" customFormat="1" x14ac:dyDescent="0.3"/>
    <row r="650" s="265" customFormat="1" x14ac:dyDescent="0.3"/>
    <row r="651" s="265" customFormat="1" x14ac:dyDescent="0.3"/>
    <row r="652" s="265" customFormat="1" x14ac:dyDescent="0.3"/>
    <row r="653" s="265" customFormat="1" x14ac:dyDescent="0.3"/>
    <row r="654" s="265" customFormat="1" x14ac:dyDescent="0.3"/>
    <row r="655" s="265" customFormat="1" x14ac:dyDescent="0.3"/>
    <row r="656" s="265" customFormat="1" x14ac:dyDescent="0.3"/>
    <row r="657" s="265" customFormat="1" x14ac:dyDescent="0.3"/>
    <row r="658" s="265" customFormat="1" x14ac:dyDescent="0.3"/>
    <row r="659" s="265" customFormat="1" x14ac:dyDescent="0.3"/>
    <row r="660" s="265" customFormat="1" x14ac:dyDescent="0.3"/>
    <row r="661" s="265" customFormat="1" x14ac:dyDescent="0.3"/>
    <row r="662" s="265" customFormat="1" x14ac:dyDescent="0.3"/>
    <row r="663" s="265" customFormat="1" x14ac:dyDescent="0.3"/>
    <row r="664" s="265" customFormat="1" x14ac:dyDescent="0.3"/>
    <row r="665" s="265" customFormat="1" x14ac:dyDescent="0.3"/>
    <row r="666" s="265" customFormat="1" x14ac:dyDescent="0.3"/>
    <row r="667" s="265" customFormat="1" x14ac:dyDescent="0.3"/>
    <row r="668" s="265" customFormat="1" x14ac:dyDescent="0.3"/>
    <row r="669" s="265" customFormat="1" x14ac:dyDescent="0.3"/>
    <row r="670" s="265" customFormat="1" x14ac:dyDescent="0.3"/>
    <row r="671" s="265" customFormat="1" x14ac:dyDescent="0.3"/>
    <row r="672" s="265" customFormat="1" x14ac:dyDescent="0.3"/>
    <row r="673" s="265" customFormat="1" x14ac:dyDescent="0.3"/>
    <row r="674" s="265" customFormat="1" x14ac:dyDescent="0.3"/>
    <row r="675" s="265" customFormat="1" x14ac:dyDescent="0.3"/>
    <row r="676" s="265" customFormat="1" x14ac:dyDescent="0.3"/>
    <row r="677" s="265" customFormat="1" x14ac:dyDescent="0.3"/>
    <row r="678" s="265" customFormat="1" x14ac:dyDescent="0.3"/>
    <row r="679" s="265" customFormat="1" x14ac:dyDescent="0.3"/>
    <row r="680" s="265" customFormat="1" x14ac:dyDescent="0.3"/>
    <row r="681" s="265" customFormat="1" x14ac:dyDescent="0.3"/>
    <row r="682" s="265" customFormat="1" x14ac:dyDescent="0.3"/>
    <row r="683" s="265" customFormat="1" x14ac:dyDescent="0.3"/>
    <row r="684" s="265" customFormat="1" x14ac:dyDescent="0.3"/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6DF8E-46DE-430F-BE6C-1FD3F044AEDD}">
  <sheetPr>
    <tabColor rgb="FF92D050"/>
  </sheetPr>
  <dimension ref="A1:F678"/>
  <sheetViews>
    <sheetView workbookViewId="0">
      <selection activeCell="A3" sqref="A3:A6"/>
    </sheetView>
  </sheetViews>
  <sheetFormatPr baseColWidth="10" defaultColWidth="9.109375" defaultRowHeight="14.4" x14ac:dyDescent="0.3"/>
  <cols>
    <col min="1" max="1" width="27.33203125" style="265" customWidth="1"/>
    <col min="2" max="3" width="17" style="267" customWidth="1"/>
    <col min="4" max="4" width="16.44140625" style="265" customWidth="1"/>
    <col min="5" max="5" width="15" style="265" customWidth="1"/>
    <col min="6" max="6" width="13.109375" style="265" customWidth="1"/>
    <col min="7" max="7" width="13.44140625" style="265" customWidth="1"/>
    <col min="8" max="8" width="8.6640625" style="265" customWidth="1"/>
    <col min="9" max="16384" width="9.109375" style="265"/>
  </cols>
  <sheetData>
    <row r="1" spans="1:6" x14ac:dyDescent="0.3">
      <c r="A1" s="264" t="s">
        <v>295</v>
      </c>
      <c r="B1" s="265"/>
      <c r="C1" s="265"/>
    </row>
    <row r="2" spans="1:6" x14ac:dyDescent="0.3">
      <c r="A2" s="266"/>
      <c r="B2" s="266"/>
      <c r="C2" s="266"/>
    </row>
    <row r="3" spans="1:6" x14ac:dyDescent="0.3">
      <c r="A3" s="460" t="s">
        <v>40</v>
      </c>
      <c r="B3" s="276" t="s">
        <v>296</v>
      </c>
      <c r="C3" s="311" t="s">
        <v>296</v>
      </c>
      <c r="D3" s="302"/>
      <c r="E3" s="266"/>
      <c r="F3" s="266"/>
    </row>
    <row r="4" spans="1:6" x14ac:dyDescent="0.3">
      <c r="A4" s="460"/>
      <c r="B4" s="276">
        <v>2023</v>
      </c>
      <c r="C4" s="311">
        <v>2023</v>
      </c>
      <c r="D4" s="302"/>
      <c r="E4" s="266"/>
      <c r="F4" s="266"/>
    </row>
    <row r="5" spans="1:6" x14ac:dyDescent="0.3">
      <c r="A5" s="460"/>
      <c r="B5" s="276"/>
      <c r="C5" s="311"/>
      <c r="D5" s="302"/>
      <c r="E5" s="266"/>
      <c r="F5" s="266"/>
    </row>
    <row r="6" spans="1:6" ht="63" customHeight="1" x14ac:dyDescent="0.3">
      <c r="A6" s="460"/>
      <c r="B6" s="276" t="s">
        <v>286</v>
      </c>
      <c r="C6" s="311" t="s">
        <v>337</v>
      </c>
      <c r="D6" s="302"/>
      <c r="E6" s="266"/>
      <c r="F6" s="266"/>
    </row>
    <row r="7" spans="1:6" x14ac:dyDescent="0.3">
      <c r="A7" s="277" t="s">
        <v>49</v>
      </c>
      <c r="B7" s="291">
        <f>($B$33-$B$28)*('ANNEXE 1 Grille'!C5/'ANNEXE 1 Grille'!C$43)</f>
        <v>927.70430323300866</v>
      </c>
      <c r="C7" s="291"/>
      <c r="D7" s="302"/>
      <c r="E7" s="266"/>
      <c r="F7" s="266"/>
    </row>
    <row r="8" spans="1:6" x14ac:dyDescent="0.3">
      <c r="A8" s="278" t="s">
        <v>50</v>
      </c>
      <c r="B8" s="292"/>
      <c r="C8" s="292"/>
      <c r="D8" s="302"/>
      <c r="E8" s="266"/>
      <c r="F8" s="266"/>
    </row>
    <row r="9" spans="1:6" x14ac:dyDescent="0.3">
      <c r="A9" s="278" t="s">
        <v>51</v>
      </c>
      <c r="B9" s="292"/>
      <c r="C9" s="292"/>
      <c r="D9" s="302"/>
      <c r="E9" s="266"/>
      <c r="F9" s="266"/>
    </row>
    <row r="10" spans="1:6" x14ac:dyDescent="0.3">
      <c r="A10" s="278" t="s">
        <v>52</v>
      </c>
      <c r="B10" s="292"/>
      <c r="C10" s="292"/>
      <c r="D10" s="302"/>
      <c r="E10" s="266"/>
      <c r="F10" s="266"/>
    </row>
    <row r="11" spans="1:6" x14ac:dyDescent="0.3">
      <c r="A11" s="277" t="s">
        <v>53</v>
      </c>
      <c r="B11" s="291">
        <f>($B$33-$B$28)*('ANNEXE 1 Grille'!C9/'ANNEXE 1 Grille'!C$43)</f>
        <v>3189.4067651295413</v>
      </c>
      <c r="C11" s="291"/>
      <c r="D11" s="302"/>
      <c r="E11" s="266"/>
      <c r="F11" s="266"/>
    </row>
    <row r="12" spans="1:6" x14ac:dyDescent="0.3">
      <c r="A12" s="277" t="s">
        <v>54</v>
      </c>
      <c r="B12" s="291">
        <f>($B$33-$B$28)*('ANNEXE 1 Grille'!C10/'ANNEXE 1 Grille'!C$43)</f>
        <v>1887.0092396661687</v>
      </c>
      <c r="C12" s="291"/>
      <c r="D12" s="302"/>
      <c r="E12" s="266"/>
      <c r="F12" s="266"/>
    </row>
    <row r="13" spans="1:6" x14ac:dyDescent="0.3">
      <c r="A13" s="278" t="s">
        <v>55</v>
      </c>
      <c r="B13" s="292"/>
      <c r="C13" s="292"/>
      <c r="D13" s="302"/>
      <c r="E13" s="266"/>
      <c r="F13" s="266"/>
    </row>
    <row r="14" spans="1:6" x14ac:dyDescent="0.3">
      <c r="A14" s="278" t="s">
        <v>56</v>
      </c>
      <c r="B14" s="292"/>
      <c r="C14" s="292"/>
      <c r="D14" s="302"/>
      <c r="E14" s="266"/>
      <c r="F14" s="266"/>
    </row>
    <row r="15" spans="1:6" x14ac:dyDescent="0.3">
      <c r="A15" s="277" t="s">
        <v>57</v>
      </c>
      <c r="B15" s="291">
        <f>($B$33-$B$28)*('ANNEXE 1 Grille'!C13/'ANNEXE 1 Grille'!C$43)</f>
        <v>3320.3236741015962</v>
      </c>
      <c r="C15" s="291"/>
      <c r="D15" s="302"/>
      <c r="E15" s="266"/>
      <c r="F15" s="266"/>
    </row>
    <row r="16" spans="1:6" x14ac:dyDescent="0.3">
      <c r="A16" s="278" t="s">
        <v>58</v>
      </c>
      <c r="B16" s="292"/>
      <c r="C16" s="292"/>
      <c r="D16" s="302"/>
      <c r="E16" s="266"/>
      <c r="F16" s="266"/>
    </row>
    <row r="17" spans="1:6" x14ac:dyDescent="0.3">
      <c r="A17" s="278" t="s">
        <v>59</v>
      </c>
      <c r="B17" s="292"/>
      <c r="C17" s="292"/>
      <c r="D17" s="302"/>
      <c r="E17" s="266"/>
      <c r="F17" s="266"/>
    </row>
    <row r="18" spans="1:6" x14ac:dyDescent="0.3">
      <c r="A18" s="278" t="s">
        <v>60</v>
      </c>
      <c r="B18" s="292"/>
      <c r="C18" s="292"/>
      <c r="D18" s="302"/>
      <c r="E18" s="266"/>
      <c r="F18" s="266"/>
    </row>
    <row r="19" spans="1:6" x14ac:dyDescent="0.3">
      <c r="A19" s="277" t="s">
        <v>61</v>
      </c>
      <c r="B19" s="291">
        <f>($B$33-$B$28)*('ANNEXE 1 Grille'!C17/'ANNEXE 1 Grille'!C$43)</f>
        <v>1444.6003748640526</v>
      </c>
      <c r="C19" s="291"/>
      <c r="D19" s="302"/>
      <c r="E19" s="266"/>
      <c r="F19" s="266"/>
    </row>
    <row r="20" spans="1:6" x14ac:dyDescent="0.3">
      <c r="A20" s="278" t="s">
        <v>62</v>
      </c>
      <c r="B20" s="292"/>
      <c r="C20" s="292"/>
      <c r="D20" s="302"/>
      <c r="E20" s="266"/>
      <c r="F20" s="266"/>
    </row>
    <row r="21" spans="1:6" x14ac:dyDescent="0.3">
      <c r="A21" s="278" t="s">
        <v>63</v>
      </c>
      <c r="B21" s="292"/>
      <c r="C21" s="292"/>
      <c r="D21" s="302"/>
      <c r="E21" s="266"/>
      <c r="F21" s="266"/>
    </row>
    <row r="22" spans="1:6" x14ac:dyDescent="0.3">
      <c r="A22" s="278" t="s">
        <v>64</v>
      </c>
      <c r="B22" s="292"/>
      <c r="C22" s="292"/>
      <c r="D22" s="302"/>
      <c r="E22" s="266"/>
      <c r="F22" s="266"/>
    </row>
    <row r="23" spans="1:6" x14ac:dyDescent="0.3">
      <c r="A23" s="278" t="s">
        <v>65</v>
      </c>
      <c r="B23" s="292"/>
      <c r="C23" s="292"/>
      <c r="D23" s="302"/>
      <c r="E23" s="266"/>
      <c r="F23" s="266"/>
    </row>
    <row r="24" spans="1:6" x14ac:dyDescent="0.3">
      <c r="A24" s="278" t="s">
        <v>66</v>
      </c>
      <c r="B24" s="292"/>
      <c r="C24" s="292"/>
      <c r="D24" s="302"/>
      <c r="E24" s="266"/>
      <c r="F24" s="266"/>
    </row>
    <row r="25" spans="1:6" x14ac:dyDescent="0.3">
      <c r="A25" s="277" t="s">
        <v>67</v>
      </c>
      <c r="B25" s="291">
        <f>($B$33-$B$28)*('ANNEXE 1 Grille'!C23/'ANNEXE 1 Grille'!C$43)</f>
        <v>692.95674231760029</v>
      </c>
      <c r="C25" s="291"/>
      <c r="D25" s="302"/>
      <c r="E25" s="266"/>
      <c r="F25" s="266"/>
    </row>
    <row r="26" spans="1:6" x14ac:dyDescent="0.3">
      <c r="A26" s="277" t="s">
        <v>68</v>
      </c>
      <c r="B26" s="291">
        <f>($B$33-$B$28)*('ANNEXE 1 Grille'!C24/'ANNEXE 1 Grille'!C$43)</f>
        <v>1392.6850488923756</v>
      </c>
      <c r="C26" s="291"/>
      <c r="D26" s="302"/>
      <c r="E26" s="266"/>
      <c r="F26" s="266"/>
    </row>
    <row r="27" spans="1:6" x14ac:dyDescent="0.3">
      <c r="A27" s="277" t="s">
        <v>69</v>
      </c>
      <c r="B27" s="291">
        <f>($B$33-$B$28)*('ANNEXE 1 Grille'!C25/'ANNEXE 1 Grille'!C$43)</f>
        <v>1722.2345094082377</v>
      </c>
      <c r="C27" s="291"/>
      <c r="D27" s="302"/>
      <c r="E27" s="266"/>
      <c r="F27" s="266"/>
    </row>
    <row r="28" spans="1:6" x14ac:dyDescent="0.3">
      <c r="A28" s="281" t="s">
        <v>129</v>
      </c>
      <c r="B28" s="298">
        <f>B33*B39</f>
        <v>9717.9471050750562</v>
      </c>
      <c r="C28" s="298"/>
      <c r="D28" s="302"/>
      <c r="E28" s="266"/>
      <c r="F28" s="266"/>
    </row>
    <row r="29" spans="1:6" x14ac:dyDescent="0.3">
      <c r="A29" s="279" t="s">
        <v>72</v>
      </c>
      <c r="B29" s="293">
        <f>SUM(B7:B28)</f>
        <v>24294.867762687638</v>
      </c>
      <c r="C29" s="293"/>
      <c r="D29" s="302"/>
      <c r="E29" s="266"/>
      <c r="F29" s="266"/>
    </row>
    <row r="30" spans="1:6" ht="28.8" x14ac:dyDescent="0.3">
      <c r="A30" s="299" t="s">
        <v>130</v>
      </c>
      <c r="B30" s="300">
        <f>B29-B28</f>
        <v>14576.920657612582</v>
      </c>
      <c r="C30" s="300"/>
      <c r="D30" s="302"/>
      <c r="E30" s="266"/>
      <c r="F30" s="266"/>
    </row>
    <row r="31" spans="1:6" x14ac:dyDescent="0.3">
      <c r="A31" s="280"/>
      <c r="B31" s="280"/>
      <c r="C31" s="270"/>
      <c r="D31" s="302"/>
      <c r="E31" s="266"/>
      <c r="F31" s="266"/>
    </row>
    <row r="32" spans="1:6" x14ac:dyDescent="0.3">
      <c r="A32" s="281" t="s">
        <v>125</v>
      </c>
      <c r="B32" s="276" t="s">
        <v>39</v>
      </c>
      <c r="C32" s="297" t="s">
        <v>283</v>
      </c>
      <c r="D32" s="302"/>
      <c r="E32" s="266"/>
      <c r="F32" s="266"/>
    </row>
    <row r="33" spans="1:6" ht="15" customHeight="1" x14ac:dyDescent="0.3">
      <c r="A33" s="282" t="s">
        <v>201</v>
      </c>
      <c r="B33" s="283">
        <f>B35*B37</f>
        <v>24294.867762687638</v>
      </c>
      <c r="C33" s="297" t="b">
        <f>B33=B29</f>
        <v>1</v>
      </c>
      <c r="D33" s="302"/>
      <c r="E33" s="266"/>
      <c r="F33" s="266"/>
    </row>
    <row r="34" spans="1:6" x14ac:dyDescent="0.3">
      <c r="A34" s="282" t="s">
        <v>202</v>
      </c>
      <c r="B34" s="283">
        <f>B33*1.2</f>
        <v>29153.841315225163</v>
      </c>
      <c r="C34" s="297"/>
      <c r="D34" s="302"/>
      <c r="E34" s="266"/>
      <c r="F34" s="266"/>
    </row>
    <row r="35" spans="1:6" ht="15" customHeight="1" x14ac:dyDescent="0.3">
      <c r="A35" s="282" t="s">
        <v>142</v>
      </c>
      <c r="B35" s="283">
        <v>23735</v>
      </c>
      <c r="C35" s="297"/>
      <c r="D35" s="302"/>
      <c r="E35" s="266"/>
      <c r="F35" s="266"/>
    </row>
    <row r="36" spans="1:6" x14ac:dyDescent="0.3">
      <c r="A36" s="282" t="s">
        <v>143</v>
      </c>
      <c r="B36" s="283">
        <f>B35*1.2</f>
        <v>28482</v>
      </c>
      <c r="C36" s="297"/>
    </row>
    <row r="37" spans="1:6" ht="15" customHeight="1" x14ac:dyDescent="0.3">
      <c r="A37" s="282" t="s">
        <v>285</v>
      </c>
      <c r="B37" s="271">
        <f>'Indice Syntec'!C4</f>
        <v>1.0235882773409579</v>
      </c>
      <c r="C37" s="297" t="s">
        <v>268</v>
      </c>
    </row>
    <row r="38" spans="1:6" x14ac:dyDescent="0.3">
      <c r="A38" s="266"/>
      <c r="B38" s="265"/>
      <c r="C38" s="266"/>
    </row>
    <row r="39" spans="1:6" x14ac:dyDescent="0.3">
      <c r="A39" s="282" t="s">
        <v>269</v>
      </c>
      <c r="B39" s="274">
        <v>0.4</v>
      </c>
      <c r="C39" s="266"/>
    </row>
    <row r="40" spans="1:6" x14ac:dyDescent="0.3">
      <c r="A40" s="282" t="s">
        <v>270</v>
      </c>
      <c r="B40" s="274">
        <f>1-B39</f>
        <v>0.6</v>
      </c>
      <c r="C40" s="266"/>
    </row>
    <row r="41" spans="1:6" x14ac:dyDescent="0.3">
      <c r="A41" s="273"/>
      <c r="B41" s="265"/>
      <c r="C41" s="265"/>
    </row>
    <row r="42" spans="1:6" x14ac:dyDescent="0.3">
      <c r="B42" s="265"/>
      <c r="C42" s="265"/>
    </row>
    <row r="43" spans="1:6" x14ac:dyDescent="0.3">
      <c r="B43" s="265"/>
      <c r="C43" s="265"/>
    </row>
    <row r="44" spans="1:6" x14ac:dyDescent="0.3">
      <c r="B44" s="265"/>
      <c r="C44" s="265"/>
    </row>
    <row r="45" spans="1:6" x14ac:dyDescent="0.3">
      <c r="B45" s="265"/>
      <c r="C45" s="265"/>
    </row>
    <row r="46" spans="1:6" x14ac:dyDescent="0.3">
      <c r="B46" s="265"/>
      <c r="C46" s="265"/>
    </row>
    <row r="47" spans="1:6" x14ac:dyDescent="0.3">
      <c r="B47" s="265"/>
      <c r="C47" s="265"/>
    </row>
    <row r="48" spans="1:6" x14ac:dyDescent="0.3">
      <c r="B48" s="265"/>
      <c r="C48" s="265"/>
    </row>
    <row r="49" s="265" customFormat="1" x14ac:dyDescent="0.3"/>
    <row r="50" s="265" customFormat="1" x14ac:dyDescent="0.3"/>
    <row r="51" s="265" customFormat="1" x14ac:dyDescent="0.3"/>
    <row r="52" s="265" customFormat="1" x14ac:dyDescent="0.3"/>
    <row r="53" s="265" customFormat="1" x14ac:dyDescent="0.3"/>
    <row r="54" s="265" customFormat="1" x14ac:dyDescent="0.3"/>
    <row r="55" s="265" customFormat="1" x14ac:dyDescent="0.3"/>
    <row r="56" s="265" customFormat="1" x14ac:dyDescent="0.3"/>
    <row r="57" s="265" customFormat="1" x14ac:dyDescent="0.3"/>
    <row r="58" s="265" customFormat="1" x14ac:dyDescent="0.3"/>
    <row r="59" s="265" customFormat="1" x14ac:dyDescent="0.3"/>
    <row r="60" s="265" customFormat="1" x14ac:dyDescent="0.3"/>
    <row r="61" s="265" customFormat="1" x14ac:dyDescent="0.3"/>
    <row r="62" s="265" customFormat="1" x14ac:dyDescent="0.3"/>
    <row r="63" s="265" customFormat="1" x14ac:dyDescent="0.3"/>
    <row r="64" s="265" customFormat="1" x14ac:dyDescent="0.3"/>
    <row r="65" s="265" customFormat="1" x14ac:dyDescent="0.3"/>
    <row r="66" s="265" customFormat="1" x14ac:dyDescent="0.3"/>
    <row r="67" s="265" customFormat="1" x14ac:dyDescent="0.3"/>
    <row r="68" s="265" customFormat="1" x14ac:dyDescent="0.3"/>
    <row r="69" s="265" customFormat="1" x14ac:dyDescent="0.3"/>
    <row r="70" s="265" customFormat="1" x14ac:dyDescent="0.3"/>
    <row r="71" s="265" customFormat="1" x14ac:dyDescent="0.3"/>
    <row r="72" s="265" customFormat="1" x14ac:dyDescent="0.3"/>
    <row r="73" s="265" customFormat="1" x14ac:dyDescent="0.3"/>
    <row r="74" s="265" customFormat="1" x14ac:dyDescent="0.3"/>
    <row r="75" s="265" customFormat="1" x14ac:dyDescent="0.3"/>
    <row r="76" s="265" customFormat="1" x14ac:dyDescent="0.3"/>
    <row r="77" s="265" customFormat="1" x14ac:dyDescent="0.3"/>
    <row r="78" s="265" customFormat="1" x14ac:dyDescent="0.3"/>
    <row r="79" s="265" customFormat="1" x14ac:dyDescent="0.3"/>
    <row r="80" s="265" customFormat="1" x14ac:dyDescent="0.3"/>
    <row r="81" s="265" customFormat="1" x14ac:dyDescent="0.3"/>
    <row r="82" s="265" customFormat="1" x14ac:dyDescent="0.3"/>
    <row r="83" s="265" customFormat="1" x14ac:dyDescent="0.3"/>
    <row r="84" s="265" customFormat="1" x14ac:dyDescent="0.3"/>
    <row r="85" s="265" customFormat="1" x14ac:dyDescent="0.3"/>
    <row r="86" s="265" customFormat="1" x14ac:dyDescent="0.3"/>
    <row r="87" s="265" customFormat="1" x14ac:dyDescent="0.3"/>
    <row r="88" s="265" customFormat="1" x14ac:dyDescent="0.3"/>
    <row r="89" s="265" customFormat="1" x14ac:dyDescent="0.3"/>
    <row r="90" s="265" customFormat="1" x14ac:dyDescent="0.3"/>
    <row r="91" s="265" customFormat="1" x14ac:dyDescent="0.3"/>
    <row r="92" s="265" customFormat="1" x14ac:dyDescent="0.3"/>
    <row r="93" s="265" customFormat="1" x14ac:dyDescent="0.3"/>
    <row r="94" s="265" customFormat="1" x14ac:dyDescent="0.3"/>
    <row r="95" s="265" customFormat="1" x14ac:dyDescent="0.3"/>
    <row r="96" s="265" customFormat="1" x14ac:dyDescent="0.3"/>
    <row r="97" s="265" customFormat="1" x14ac:dyDescent="0.3"/>
    <row r="98" s="265" customFormat="1" x14ac:dyDescent="0.3"/>
    <row r="99" s="265" customFormat="1" x14ac:dyDescent="0.3"/>
    <row r="100" s="265" customFormat="1" x14ac:dyDescent="0.3"/>
    <row r="101" s="265" customFormat="1" x14ac:dyDescent="0.3"/>
    <row r="102" s="265" customFormat="1" x14ac:dyDescent="0.3"/>
    <row r="103" s="265" customFormat="1" x14ac:dyDescent="0.3"/>
    <row r="104" s="265" customFormat="1" x14ac:dyDescent="0.3"/>
    <row r="105" s="265" customFormat="1" x14ac:dyDescent="0.3"/>
    <row r="106" s="265" customFormat="1" x14ac:dyDescent="0.3"/>
    <row r="107" s="265" customFormat="1" x14ac:dyDescent="0.3"/>
    <row r="108" s="265" customFormat="1" x14ac:dyDescent="0.3"/>
    <row r="109" s="265" customFormat="1" x14ac:dyDescent="0.3"/>
    <row r="110" s="265" customFormat="1" x14ac:dyDescent="0.3"/>
    <row r="111" s="265" customFormat="1" x14ac:dyDescent="0.3"/>
    <row r="112" s="265" customFormat="1" x14ac:dyDescent="0.3"/>
    <row r="113" s="265" customFormat="1" x14ac:dyDescent="0.3"/>
    <row r="114" s="265" customFormat="1" x14ac:dyDescent="0.3"/>
    <row r="115" s="265" customFormat="1" x14ac:dyDescent="0.3"/>
    <row r="116" s="265" customFormat="1" x14ac:dyDescent="0.3"/>
    <row r="117" s="265" customFormat="1" x14ac:dyDescent="0.3"/>
    <row r="118" s="265" customFormat="1" x14ac:dyDescent="0.3"/>
    <row r="119" s="265" customFormat="1" x14ac:dyDescent="0.3"/>
    <row r="120" s="265" customFormat="1" x14ac:dyDescent="0.3"/>
    <row r="121" s="265" customFormat="1" x14ac:dyDescent="0.3"/>
    <row r="122" s="265" customFormat="1" x14ac:dyDescent="0.3"/>
    <row r="123" s="265" customFormat="1" x14ac:dyDescent="0.3"/>
    <row r="124" s="265" customFormat="1" x14ac:dyDescent="0.3"/>
    <row r="125" s="265" customFormat="1" x14ac:dyDescent="0.3"/>
    <row r="126" s="265" customFormat="1" x14ac:dyDescent="0.3"/>
    <row r="127" s="265" customFormat="1" x14ac:dyDescent="0.3"/>
    <row r="128" s="265" customFormat="1" x14ac:dyDescent="0.3"/>
    <row r="129" s="265" customFormat="1" x14ac:dyDescent="0.3"/>
    <row r="130" s="265" customFormat="1" x14ac:dyDescent="0.3"/>
    <row r="131" s="265" customFormat="1" x14ac:dyDescent="0.3"/>
    <row r="132" s="265" customFormat="1" x14ac:dyDescent="0.3"/>
    <row r="133" s="265" customFormat="1" x14ac:dyDescent="0.3"/>
    <row r="134" s="265" customFormat="1" x14ac:dyDescent="0.3"/>
    <row r="135" s="265" customFormat="1" x14ac:dyDescent="0.3"/>
    <row r="136" s="265" customFormat="1" x14ac:dyDescent="0.3"/>
    <row r="137" s="265" customFormat="1" x14ac:dyDescent="0.3"/>
    <row r="138" s="265" customFormat="1" x14ac:dyDescent="0.3"/>
    <row r="139" s="265" customFormat="1" x14ac:dyDescent="0.3"/>
    <row r="140" s="265" customFormat="1" x14ac:dyDescent="0.3"/>
    <row r="141" s="265" customFormat="1" x14ac:dyDescent="0.3"/>
    <row r="142" s="265" customFormat="1" x14ac:dyDescent="0.3"/>
    <row r="143" s="265" customFormat="1" x14ac:dyDescent="0.3"/>
    <row r="144" s="265" customFormat="1" x14ac:dyDescent="0.3"/>
    <row r="145" s="265" customFormat="1" x14ac:dyDescent="0.3"/>
    <row r="146" s="265" customFormat="1" x14ac:dyDescent="0.3"/>
    <row r="147" s="265" customFormat="1" x14ac:dyDescent="0.3"/>
    <row r="148" s="265" customFormat="1" x14ac:dyDescent="0.3"/>
    <row r="149" s="265" customFormat="1" x14ac:dyDescent="0.3"/>
    <row r="150" s="265" customFormat="1" x14ac:dyDescent="0.3"/>
    <row r="151" s="265" customFormat="1" x14ac:dyDescent="0.3"/>
    <row r="152" s="265" customFormat="1" x14ac:dyDescent="0.3"/>
    <row r="153" s="265" customFormat="1" x14ac:dyDescent="0.3"/>
    <row r="154" s="265" customFormat="1" x14ac:dyDescent="0.3"/>
    <row r="155" s="265" customFormat="1" x14ac:dyDescent="0.3"/>
    <row r="156" s="265" customFormat="1" x14ac:dyDescent="0.3"/>
    <row r="157" s="265" customFormat="1" x14ac:dyDescent="0.3"/>
    <row r="158" s="265" customFormat="1" x14ac:dyDescent="0.3"/>
    <row r="159" s="265" customFormat="1" x14ac:dyDescent="0.3"/>
    <row r="160" s="265" customFormat="1" x14ac:dyDescent="0.3"/>
    <row r="161" s="265" customFormat="1" x14ac:dyDescent="0.3"/>
    <row r="162" s="265" customFormat="1" x14ac:dyDescent="0.3"/>
    <row r="163" s="265" customFormat="1" x14ac:dyDescent="0.3"/>
    <row r="164" s="265" customFormat="1" x14ac:dyDescent="0.3"/>
    <row r="165" s="265" customFormat="1" x14ac:dyDescent="0.3"/>
    <row r="166" s="265" customFormat="1" x14ac:dyDescent="0.3"/>
    <row r="167" s="265" customFormat="1" x14ac:dyDescent="0.3"/>
    <row r="168" s="265" customFormat="1" x14ac:dyDescent="0.3"/>
    <row r="169" s="265" customFormat="1" x14ac:dyDescent="0.3"/>
    <row r="170" s="265" customFormat="1" x14ac:dyDescent="0.3"/>
    <row r="171" s="265" customFormat="1" x14ac:dyDescent="0.3"/>
    <row r="172" s="265" customFormat="1" x14ac:dyDescent="0.3"/>
    <row r="173" s="265" customFormat="1" x14ac:dyDescent="0.3"/>
    <row r="174" s="265" customFormat="1" x14ac:dyDescent="0.3"/>
    <row r="175" s="265" customFormat="1" x14ac:dyDescent="0.3"/>
    <row r="176" s="265" customFormat="1" x14ac:dyDescent="0.3"/>
    <row r="177" s="265" customFormat="1" x14ac:dyDescent="0.3"/>
    <row r="178" s="265" customFormat="1" x14ac:dyDescent="0.3"/>
    <row r="179" s="265" customFormat="1" x14ac:dyDescent="0.3"/>
    <row r="180" s="265" customFormat="1" x14ac:dyDescent="0.3"/>
    <row r="181" s="265" customFormat="1" x14ac:dyDescent="0.3"/>
    <row r="182" s="265" customFormat="1" x14ac:dyDescent="0.3"/>
    <row r="183" s="265" customFormat="1" x14ac:dyDescent="0.3"/>
    <row r="184" s="265" customFormat="1" x14ac:dyDescent="0.3"/>
    <row r="185" s="265" customFormat="1" x14ac:dyDescent="0.3"/>
    <row r="186" s="265" customFormat="1" x14ac:dyDescent="0.3"/>
    <row r="187" s="265" customFormat="1" x14ac:dyDescent="0.3"/>
    <row r="188" s="265" customFormat="1" x14ac:dyDescent="0.3"/>
    <row r="189" s="265" customFormat="1" x14ac:dyDescent="0.3"/>
    <row r="190" s="265" customFormat="1" x14ac:dyDescent="0.3"/>
    <row r="191" s="265" customFormat="1" x14ac:dyDescent="0.3"/>
    <row r="192" s="265" customFormat="1" x14ac:dyDescent="0.3"/>
    <row r="193" s="265" customFormat="1" x14ac:dyDescent="0.3"/>
    <row r="194" s="265" customFormat="1" x14ac:dyDescent="0.3"/>
    <row r="195" s="265" customFormat="1" x14ac:dyDescent="0.3"/>
    <row r="196" s="265" customFormat="1" x14ac:dyDescent="0.3"/>
    <row r="197" s="265" customFormat="1" x14ac:dyDescent="0.3"/>
    <row r="198" s="265" customFormat="1" x14ac:dyDescent="0.3"/>
    <row r="199" s="265" customFormat="1" x14ac:dyDescent="0.3"/>
    <row r="200" s="265" customFormat="1" x14ac:dyDescent="0.3"/>
    <row r="201" s="265" customFormat="1" x14ac:dyDescent="0.3"/>
    <row r="202" s="265" customFormat="1" x14ac:dyDescent="0.3"/>
    <row r="203" s="265" customFormat="1" x14ac:dyDescent="0.3"/>
    <row r="204" s="265" customFormat="1" x14ac:dyDescent="0.3"/>
    <row r="205" s="265" customFormat="1" x14ac:dyDescent="0.3"/>
    <row r="206" s="265" customFormat="1" x14ac:dyDescent="0.3"/>
    <row r="207" s="265" customFormat="1" x14ac:dyDescent="0.3"/>
    <row r="208" s="265" customFormat="1" x14ac:dyDescent="0.3"/>
    <row r="209" s="265" customFormat="1" x14ac:dyDescent="0.3"/>
    <row r="210" s="265" customFormat="1" x14ac:dyDescent="0.3"/>
    <row r="211" s="265" customFormat="1" x14ac:dyDescent="0.3"/>
    <row r="212" s="265" customFormat="1" x14ac:dyDescent="0.3"/>
    <row r="213" s="265" customFormat="1" x14ac:dyDescent="0.3"/>
    <row r="214" s="265" customFormat="1" x14ac:dyDescent="0.3"/>
    <row r="215" s="265" customFormat="1" x14ac:dyDescent="0.3"/>
    <row r="216" s="265" customFormat="1" x14ac:dyDescent="0.3"/>
    <row r="217" s="265" customFormat="1" x14ac:dyDescent="0.3"/>
    <row r="218" s="265" customFormat="1" x14ac:dyDescent="0.3"/>
    <row r="219" s="265" customFormat="1" x14ac:dyDescent="0.3"/>
    <row r="220" s="265" customFormat="1" x14ac:dyDescent="0.3"/>
    <row r="221" s="265" customFormat="1" x14ac:dyDescent="0.3"/>
    <row r="222" s="265" customFormat="1" x14ac:dyDescent="0.3"/>
    <row r="223" s="265" customFormat="1" x14ac:dyDescent="0.3"/>
    <row r="224" s="265" customFormat="1" x14ac:dyDescent="0.3"/>
    <row r="225" s="265" customFormat="1" x14ac:dyDescent="0.3"/>
    <row r="226" s="265" customFormat="1" x14ac:dyDescent="0.3"/>
    <row r="227" s="265" customFormat="1" x14ac:dyDescent="0.3"/>
    <row r="228" s="265" customFormat="1" x14ac:dyDescent="0.3"/>
    <row r="229" s="265" customFormat="1" x14ac:dyDescent="0.3"/>
    <row r="230" s="265" customFormat="1" x14ac:dyDescent="0.3"/>
    <row r="231" s="265" customFormat="1" x14ac:dyDescent="0.3"/>
    <row r="232" s="265" customFormat="1" x14ac:dyDescent="0.3"/>
    <row r="233" s="265" customFormat="1" x14ac:dyDescent="0.3"/>
    <row r="234" s="265" customFormat="1" x14ac:dyDescent="0.3"/>
    <row r="235" s="265" customFormat="1" x14ac:dyDescent="0.3"/>
    <row r="236" s="265" customFormat="1" x14ac:dyDescent="0.3"/>
    <row r="237" s="265" customFormat="1" x14ac:dyDescent="0.3"/>
    <row r="238" s="265" customFormat="1" x14ac:dyDescent="0.3"/>
    <row r="239" s="265" customFormat="1" x14ac:dyDescent="0.3"/>
    <row r="240" s="265" customFormat="1" x14ac:dyDescent="0.3"/>
    <row r="241" s="265" customFormat="1" x14ac:dyDescent="0.3"/>
    <row r="242" s="265" customFormat="1" x14ac:dyDescent="0.3"/>
    <row r="243" s="265" customFormat="1" x14ac:dyDescent="0.3"/>
    <row r="244" s="265" customFormat="1" x14ac:dyDescent="0.3"/>
    <row r="245" s="265" customFormat="1" x14ac:dyDescent="0.3"/>
    <row r="246" s="265" customFormat="1" x14ac:dyDescent="0.3"/>
    <row r="247" s="265" customFormat="1" x14ac:dyDescent="0.3"/>
    <row r="248" s="265" customFormat="1" x14ac:dyDescent="0.3"/>
    <row r="249" s="265" customFormat="1" x14ac:dyDescent="0.3"/>
    <row r="250" s="265" customFormat="1" x14ac:dyDescent="0.3"/>
    <row r="251" s="265" customFormat="1" x14ac:dyDescent="0.3"/>
    <row r="252" s="265" customFormat="1" x14ac:dyDescent="0.3"/>
    <row r="253" s="265" customFormat="1" x14ac:dyDescent="0.3"/>
    <row r="254" s="265" customFormat="1" x14ac:dyDescent="0.3"/>
    <row r="255" s="265" customFormat="1" x14ac:dyDescent="0.3"/>
    <row r="256" s="265" customFormat="1" x14ac:dyDescent="0.3"/>
    <row r="257" s="265" customFormat="1" x14ac:dyDescent="0.3"/>
    <row r="258" s="265" customFormat="1" x14ac:dyDescent="0.3"/>
    <row r="259" s="265" customFormat="1" x14ac:dyDescent="0.3"/>
    <row r="260" s="265" customFormat="1" x14ac:dyDescent="0.3"/>
    <row r="261" s="265" customFormat="1" x14ac:dyDescent="0.3"/>
    <row r="262" s="265" customFormat="1" x14ac:dyDescent="0.3"/>
    <row r="263" s="265" customFormat="1" x14ac:dyDescent="0.3"/>
    <row r="264" s="265" customFormat="1" x14ac:dyDescent="0.3"/>
    <row r="265" s="265" customFormat="1" x14ac:dyDescent="0.3"/>
    <row r="266" s="265" customFormat="1" x14ac:dyDescent="0.3"/>
    <row r="267" s="265" customFormat="1" x14ac:dyDescent="0.3"/>
    <row r="268" s="265" customFormat="1" x14ac:dyDescent="0.3"/>
    <row r="269" s="265" customFormat="1" x14ac:dyDescent="0.3"/>
    <row r="270" s="265" customFormat="1" x14ac:dyDescent="0.3"/>
    <row r="271" s="265" customFormat="1" x14ac:dyDescent="0.3"/>
    <row r="272" s="265" customFormat="1" x14ac:dyDescent="0.3"/>
    <row r="273" s="265" customFormat="1" x14ac:dyDescent="0.3"/>
    <row r="274" s="265" customFormat="1" x14ac:dyDescent="0.3"/>
    <row r="275" s="265" customFormat="1" x14ac:dyDescent="0.3"/>
    <row r="276" s="265" customFormat="1" x14ac:dyDescent="0.3"/>
    <row r="277" s="265" customFormat="1" x14ac:dyDescent="0.3"/>
    <row r="278" s="265" customFormat="1" x14ac:dyDescent="0.3"/>
    <row r="279" s="265" customFormat="1" x14ac:dyDescent="0.3"/>
    <row r="280" s="265" customFormat="1" x14ac:dyDescent="0.3"/>
    <row r="281" s="265" customFormat="1" x14ac:dyDescent="0.3"/>
    <row r="282" s="265" customFormat="1" x14ac:dyDescent="0.3"/>
    <row r="283" s="265" customFormat="1" x14ac:dyDescent="0.3"/>
    <row r="284" s="265" customFormat="1" x14ac:dyDescent="0.3"/>
    <row r="285" s="265" customFormat="1" x14ac:dyDescent="0.3"/>
    <row r="286" s="265" customFormat="1" x14ac:dyDescent="0.3"/>
    <row r="287" s="265" customFormat="1" x14ac:dyDescent="0.3"/>
    <row r="288" s="265" customFormat="1" x14ac:dyDescent="0.3"/>
    <row r="289" s="265" customFormat="1" x14ac:dyDescent="0.3"/>
    <row r="290" s="265" customFormat="1" x14ac:dyDescent="0.3"/>
    <row r="291" s="265" customFormat="1" x14ac:dyDescent="0.3"/>
    <row r="292" s="265" customFormat="1" x14ac:dyDescent="0.3"/>
    <row r="293" s="265" customFormat="1" x14ac:dyDescent="0.3"/>
    <row r="294" s="265" customFormat="1" x14ac:dyDescent="0.3"/>
    <row r="295" s="265" customFormat="1" x14ac:dyDescent="0.3"/>
    <row r="296" s="265" customFormat="1" x14ac:dyDescent="0.3"/>
    <row r="297" s="265" customFormat="1" x14ac:dyDescent="0.3"/>
    <row r="298" s="265" customFormat="1" x14ac:dyDescent="0.3"/>
    <row r="299" s="265" customFormat="1" x14ac:dyDescent="0.3"/>
    <row r="300" s="265" customFormat="1" x14ac:dyDescent="0.3"/>
    <row r="301" s="265" customFormat="1" x14ac:dyDescent="0.3"/>
    <row r="302" s="265" customFormat="1" x14ac:dyDescent="0.3"/>
    <row r="303" s="265" customFormat="1" x14ac:dyDescent="0.3"/>
    <row r="304" s="265" customFormat="1" x14ac:dyDescent="0.3"/>
    <row r="305" s="265" customFormat="1" x14ac:dyDescent="0.3"/>
    <row r="306" s="265" customFormat="1" x14ac:dyDescent="0.3"/>
    <row r="307" s="265" customFormat="1" x14ac:dyDescent="0.3"/>
    <row r="308" s="265" customFormat="1" x14ac:dyDescent="0.3"/>
    <row r="309" s="265" customFormat="1" x14ac:dyDescent="0.3"/>
    <row r="310" s="265" customFormat="1" x14ac:dyDescent="0.3"/>
    <row r="311" s="265" customFormat="1" x14ac:dyDescent="0.3"/>
    <row r="312" s="265" customFormat="1" x14ac:dyDescent="0.3"/>
    <row r="313" s="265" customFormat="1" x14ac:dyDescent="0.3"/>
    <row r="314" s="265" customFormat="1" x14ac:dyDescent="0.3"/>
    <row r="315" s="265" customFormat="1" x14ac:dyDescent="0.3"/>
    <row r="316" s="265" customFormat="1" x14ac:dyDescent="0.3"/>
    <row r="317" s="265" customFormat="1" x14ac:dyDescent="0.3"/>
    <row r="318" s="265" customFormat="1" x14ac:dyDescent="0.3"/>
    <row r="319" s="265" customFormat="1" x14ac:dyDescent="0.3"/>
    <row r="320" s="265" customFormat="1" x14ac:dyDescent="0.3"/>
    <row r="321" s="265" customFormat="1" x14ac:dyDescent="0.3"/>
    <row r="322" s="265" customFormat="1" x14ac:dyDescent="0.3"/>
    <row r="323" s="265" customFormat="1" x14ac:dyDescent="0.3"/>
    <row r="324" s="265" customFormat="1" x14ac:dyDescent="0.3"/>
    <row r="325" s="265" customFormat="1" x14ac:dyDescent="0.3"/>
    <row r="326" s="265" customFormat="1" x14ac:dyDescent="0.3"/>
    <row r="327" s="265" customFormat="1" x14ac:dyDescent="0.3"/>
    <row r="328" s="265" customFormat="1" x14ac:dyDescent="0.3"/>
    <row r="329" s="265" customFormat="1" x14ac:dyDescent="0.3"/>
    <row r="330" s="265" customFormat="1" x14ac:dyDescent="0.3"/>
    <row r="331" s="265" customFormat="1" x14ac:dyDescent="0.3"/>
    <row r="332" s="265" customFormat="1" x14ac:dyDescent="0.3"/>
    <row r="333" s="265" customFormat="1" x14ac:dyDescent="0.3"/>
    <row r="334" s="265" customFormat="1" x14ac:dyDescent="0.3"/>
    <row r="335" s="265" customFormat="1" x14ac:dyDescent="0.3"/>
    <row r="336" s="265" customFormat="1" x14ac:dyDescent="0.3"/>
    <row r="337" s="265" customFormat="1" x14ac:dyDescent="0.3"/>
    <row r="338" s="265" customFormat="1" x14ac:dyDescent="0.3"/>
    <row r="339" s="265" customFormat="1" x14ac:dyDescent="0.3"/>
    <row r="340" s="265" customFormat="1" x14ac:dyDescent="0.3"/>
    <row r="341" s="265" customFormat="1" x14ac:dyDescent="0.3"/>
    <row r="342" s="265" customFormat="1" x14ac:dyDescent="0.3"/>
    <row r="343" s="265" customFormat="1" x14ac:dyDescent="0.3"/>
    <row r="344" s="265" customFormat="1" x14ac:dyDescent="0.3"/>
    <row r="345" s="265" customFormat="1" x14ac:dyDescent="0.3"/>
    <row r="346" s="265" customFormat="1" x14ac:dyDescent="0.3"/>
    <row r="347" s="265" customFormat="1" x14ac:dyDescent="0.3"/>
    <row r="348" s="265" customFormat="1" x14ac:dyDescent="0.3"/>
    <row r="349" s="265" customFormat="1" x14ac:dyDescent="0.3"/>
    <row r="350" s="265" customFormat="1" x14ac:dyDescent="0.3"/>
    <row r="351" s="265" customFormat="1" x14ac:dyDescent="0.3"/>
    <row r="352" s="265" customFormat="1" x14ac:dyDescent="0.3"/>
    <row r="353" s="265" customFormat="1" x14ac:dyDescent="0.3"/>
    <row r="354" s="265" customFormat="1" x14ac:dyDescent="0.3"/>
    <row r="355" s="265" customFormat="1" x14ac:dyDescent="0.3"/>
    <row r="356" s="265" customFormat="1" x14ac:dyDescent="0.3"/>
    <row r="357" s="265" customFormat="1" x14ac:dyDescent="0.3"/>
    <row r="358" s="265" customFormat="1" x14ac:dyDescent="0.3"/>
    <row r="359" s="265" customFormat="1" x14ac:dyDescent="0.3"/>
    <row r="360" s="265" customFormat="1" x14ac:dyDescent="0.3"/>
    <row r="361" s="265" customFormat="1" x14ac:dyDescent="0.3"/>
    <row r="362" s="265" customFormat="1" x14ac:dyDescent="0.3"/>
    <row r="363" s="265" customFormat="1" x14ac:dyDescent="0.3"/>
    <row r="364" s="265" customFormat="1" x14ac:dyDescent="0.3"/>
    <row r="365" s="265" customFormat="1" x14ac:dyDescent="0.3"/>
    <row r="366" s="265" customFormat="1" x14ac:dyDescent="0.3"/>
    <row r="367" s="265" customFormat="1" x14ac:dyDescent="0.3"/>
    <row r="368" s="265" customFormat="1" x14ac:dyDescent="0.3"/>
    <row r="369" s="265" customFormat="1" x14ac:dyDescent="0.3"/>
    <row r="370" s="265" customFormat="1" x14ac:dyDescent="0.3"/>
    <row r="371" s="265" customFormat="1" x14ac:dyDescent="0.3"/>
    <row r="372" s="265" customFormat="1" x14ac:dyDescent="0.3"/>
    <row r="373" s="265" customFormat="1" x14ac:dyDescent="0.3"/>
    <row r="374" s="265" customFormat="1" x14ac:dyDescent="0.3"/>
    <row r="375" s="265" customFormat="1" x14ac:dyDescent="0.3"/>
    <row r="376" s="265" customFormat="1" x14ac:dyDescent="0.3"/>
    <row r="377" s="265" customFormat="1" x14ac:dyDescent="0.3"/>
    <row r="378" s="265" customFormat="1" x14ac:dyDescent="0.3"/>
    <row r="379" s="265" customFormat="1" x14ac:dyDescent="0.3"/>
    <row r="380" s="265" customFormat="1" x14ac:dyDescent="0.3"/>
    <row r="381" s="265" customFormat="1" x14ac:dyDescent="0.3"/>
    <row r="382" s="265" customFormat="1" x14ac:dyDescent="0.3"/>
    <row r="383" s="265" customFormat="1" x14ac:dyDescent="0.3"/>
    <row r="384" s="265" customFormat="1" x14ac:dyDescent="0.3"/>
    <row r="385" s="265" customFormat="1" x14ac:dyDescent="0.3"/>
    <row r="386" s="265" customFormat="1" x14ac:dyDescent="0.3"/>
    <row r="387" s="265" customFormat="1" x14ac:dyDescent="0.3"/>
    <row r="388" s="265" customFormat="1" x14ac:dyDescent="0.3"/>
    <row r="389" s="265" customFormat="1" x14ac:dyDescent="0.3"/>
    <row r="390" s="265" customFormat="1" x14ac:dyDescent="0.3"/>
    <row r="391" s="265" customFormat="1" x14ac:dyDescent="0.3"/>
    <row r="392" s="265" customFormat="1" x14ac:dyDescent="0.3"/>
    <row r="393" s="265" customFormat="1" x14ac:dyDescent="0.3"/>
    <row r="394" s="265" customFormat="1" x14ac:dyDescent="0.3"/>
    <row r="395" s="265" customFormat="1" x14ac:dyDescent="0.3"/>
    <row r="396" s="265" customFormat="1" x14ac:dyDescent="0.3"/>
    <row r="397" s="265" customFormat="1" x14ac:dyDescent="0.3"/>
    <row r="398" s="265" customFormat="1" x14ac:dyDescent="0.3"/>
    <row r="399" s="265" customFormat="1" x14ac:dyDescent="0.3"/>
    <row r="400" s="265" customFormat="1" x14ac:dyDescent="0.3"/>
    <row r="401" s="265" customFormat="1" x14ac:dyDescent="0.3"/>
    <row r="402" s="265" customFormat="1" x14ac:dyDescent="0.3"/>
    <row r="403" s="265" customFormat="1" x14ac:dyDescent="0.3"/>
    <row r="404" s="265" customFormat="1" x14ac:dyDescent="0.3"/>
    <row r="405" s="265" customFormat="1" x14ac:dyDescent="0.3"/>
    <row r="406" s="265" customFormat="1" x14ac:dyDescent="0.3"/>
    <row r="407" s="265" customFormat="1" x14ac:dyDescent="0.3"/>
    <row r="408" s="265" customFormat="1" x14ac:dyDescent="0.3"/>
    <row r="409" s="265" customFormat="1" x14ac:dyDescent="0.3"/>
    <row r="410" s="265" customFormat="1" x14ac:dyDescent="0.3"/>
    <row r="411" s="265" customFormat="1" x14ac:dyDescent="0.3"/>
    <row r="412" s="265" customFormat="1" x14ac:dyDescent="0.3"/>
    <row r="413" s="265" customFormat="1" x14ac:dyDescent="0.3"/>
    <row r="414" s="265" customFormat="1" x14ac:dyDescent="0.3"/>
    <row r="415" s="265" customFormat="1" x14ac:dyDescent="0.3"/>
    <row r="416" s="265" customFormat="1" x14ac:dyDescent="0.3"/>
    <row r="417" s="265" customFormat="1" x14ac:dyDescent="0.3"/>
    <row r="418" s="265" customFormat="1" x14ac:dyDescent="0.3"/>
    <row r="419" s="265" customFormat="1" x14ac:dyDescent="0.3"/>
    <row r="420" s="265" customFormat="1" x14ac:dyDescent="0.3"/>
    <row r="421" s="265" customFormat="1" x14ac:dyDescent="0.3"/>
    <row r="422" s="265" customFormat="1" x14ac:dyDescent="0.3"/>
    <row r="423" s="265" customFormat="1" x14ac:dyDescent="0.3"/>
    <row r="424" s="265" customFormat="1" x14ac:dyDescent="0.3"/>
    <row r="425" s="265" customFormat="1" x14ac:dyDescent="0.3"/>
    <row r="426" s="265" customFormat="1" x14ac:dyDescent="0.3"/>
    <row r="427" s="265" customFormat="1" x14ac:dyDescent="0.3"/>
    <row r="428" s="265" customFormat="1" x14ac:dyDescent="0.3"/>
    <row r="429" s="265" customFormat="1" x14ac:dyDescent="0.3"/>
    <row r="430" s="265" customFormat="1" x14ac:dyDescent="0.3"/>
    <row r="431" s="265" customFormat="1" x14ac:dyDescent="0.3"/>
    <row r="432" s="265" customFormat="1" x14ac:dyDescent="0.3"/>
    <row r="433" s="265" customFormat="1" x14ac:dyDescent="0.3"/>
    <row r="434" s="265" customFormat="1" x14ac:dyDescent="0.3"/>
    <row r="435" s="265" customFormat="1" x14ac:dyDescent="0.3"/>
    <row r="436" s="265" customFormat="1" x14ac:dyDescent="0.3"/>
    <row r="437" s="265" customFormat="1" x14ac:dyDescent="0.3"/>
    <row r="438" s="265" customFormat="1" x14ac:dyDescent="0.3"/>
    <row r="439" s="265" customFormat="1" x14ac:dyDescent="0.3"/>
    <row r="440" s="265" customFormat="1" x14ac:dyDescent="0.3"/>
    <row r="441" s="265" customFormat="1" x14ac:dyDescent="0.3"/>
    <row r="442" s="265" customFormat="1" x14ac:dyDescent="0.3"/>
    <row r="443" s="265" customFormat="1" x14ac:dyDescent="0.3"/>
    <row r="444" s="265" customFormat="1" x14ac:dyDescent="0.3"/>
    <row r="445" s="265" customFormat="1" x14ac:dyDescent="0.3"/>
    <row r="446" s="265" customFormat="1" x14ac:dyDescent="0.3"/>
    <row r="447" s="265" customFormat="1" x14ac:dyDescent="0.3"/>
    <row r="448" s="265" customFormat="1" x14ac:dyDescent="0.3"/>
    <row r="449" s="265" customFormat="1" x14ac:dyDescent="0.3"/>
    <row r="450" s="265" customFormat="1" x14ac:dyDescent="0.3"/>
    <row r="451" s="265" customFormat="1" x14ac:dyDescent="0.3"/>
    <row r="452" s="265" customFormat="1" x14ac:dyDescent="0.3"/>
    <row r="453" s="265" customFormat="1" x14ac:dyDescent="0.3"/>
    <row r="454" s="265" customFormat="1" x14ac:dyDescent="0.3"/>
    <row r="455" s="265" customFormat="1" x14ac:dyDescent="0.3"/>
    <row r="456" s="265" customFormat="1" x14ac:dyDescent="0.3"/>
    <row r="457" s="265" customFormat="1" x14ac:dyDescent="0.3"/>
    <row r="458" s="265" customFormat="1" x14ac:dyDescent="0.3"/>
    <row r="459" s="265" customFormat="1" x14ac:dyDescent="0.3"/>
    <row r="460" s="265" customFormat="1" x14ac:dyDescent="0.3"/>
    <row r="461" s="265" customFormat="1" x14ac:dyDescent="0.3"/>
    <row r="462" s="265" customFormat="1" x14ac:dyDescent="0.3"/>
    <row r="463" s="265" customFormat="1" x14ac:dyDescent="0.3"/>
    <row r="464" s="265" customFormat="1" x14ac:dyDescent="0.3"/>
    <row r="465" s="265" customFormat="1" x14ac:dyDescent="0.3"/>
    <row r="466" s="265" customFormat="1" x14ac:dyDescent="0.3"/>
    <row r="467" s="265" customFormat="1" x14ac:dyDescent="0.3"/>
    <row r="468" s="265" customFormat="1" x14ac:dyDescent="0.3"/>
    <row r="469" s="265" customFormat="1" x14ac:dyDescent="0.3"/>
    <row r="470" s="265" customFormat="1" x14ac:dyDescent="0.3"/>
    <row r="471" s="265" customFormat="1" x14ac:dyDescent="0.3"/>
    <row r="472" s="265" customFormat="1" x14ac:dyDescent="0.3"/>
    <row r="473" s="265" customFormat="1" x14ac:dyDescent="0.3"/>
    <row r="474" s="265" customFormat="1" x14ac:dyDescent="0.3"/>
    <row r="475" s="265" customFormat="1" x14ac:dyDescent="0.3"/>
    <row r="476" s="265" customFormat="1" x14ac:dyDescent="0.3"/>
    <row r="477" s="265" customFormat="1" x14ac:dyDescent="0.3"/>
    <row r="478" s="265" customFormat="1" x14ac:dyDescent="0.3"/>
    <row r="479" s="265" customFormat="1" x14ac:dyDescent="0.3"/>
    <row r="480" s="265" customFormat="1" x14ac:dyDescent="0.3"/>
    <row r="481" s="265" customFormat="1" x14ac:dyDescent="0.3"/>
    <row r="482" s="265" customFormat="1" x14ac:dyDescent="0.3"/>
    <row r="483" s="265" customFormat="1" x14ac:dyDescent="0.3"/>
    <row r="484" s="265" customFormat="1" x14ac:dyDescent="0.3"/>
    <row r="485" s="265" customFormat="1" x14ac:dyDescent="0.3"/>
    <row r="486" s="265" customFormat="1" x14ac:dyDescent="0.3"/>
    <row r="487" s="265" customFormat="1" x14ac:dyDescent="0.3"/>
    <row r="488" s="265" customFormat="1" x14ac:dyDescent="0.3"/>
    <row r="489" s="265" customFormat="1" x14ac:dyDescent="0.3"/>
    <row r="490" s="265" customFormat="1" x14ac:dyDescent="0.3"/>
    <row r="491" s="265" customFormat="1" x14ac:dyDescent="0.3"/>
    <row r="492" s="265" customFormat="1" x14ac:dyDescent="0.3"/>
    <row r="493" s="265" customFormat="1" x14ac:dyDescent="0.3"/>
    <row r="494" s="265" customFormat="1" x14ac:dyDescent="0.3"/>
    <row r="495" s="265" customFormat="1" x14ac:dyDescent="0.3"/>
    <row r="496" s="265" customFormat="1" x14ac:dyDescent="0.3"/>
    <row r="497" s="265" customFormat="1" x14ac:dyDescent="0.3"/>
    <row r="498" s="265" customFormat="1" x14ac:dyDescent="0.3"/>
    <row r="499" s="265" customFormat="1" x14ac:dyDescent="0.3"/>
    <row r="500" s="265" customFormat="1" x14ac:dyDescent="0.3"/>
    <row r="501" s="265" customFormat="1" x14ac:dyDescent="0.3"/>
    <row r="502" s="265" customFormat="1" x14ac:dyDescent="0.3"/>
    <row r="503" s="265" customFormat="1" x14ac:dyDescent="0.3"/>
    <row r="504" s="265" customFormat="1" x14ac:dyDescent="0.3"/>
    <row r="505" s="265" customFormat="1" x14ac:dyDescent="0.3"/>
    <row r="506" s="265" customFormat="1" x14ac:dyDescent="0.3"/>
    <row r="507" s="265" customFormat="1" x14ac:dyDescent="0.3"/>
    <row r="508" s="265" customFormat="1" x14ac:dyDescent="0.3"/>
    <row r="509" s="265" customFormat="1" x14ac:dyDescent="0.3"/>
    <row r="510" s="265" customFormat="1" x14ac:dyDescent="0.3"/>
    <row r="511" s="265" customFormat="1" x14ac:dyDescent="0.3"/>
    <row r="512" s="265" customFormat="1" x14ac:dyDescent="0.3"/>
    <row r="513" s="265" customFormat="1" x14ac:dyDescent="0.3"/>
    <row r="514" s="265" customFormat="1" x14ac:dyDescent="0.3"/>
    <row r="515" s="265" customFormat="1" x14ac:dyDescent="0.3"/>
    <row r="516" s="265" customFormat="1" x14ac:dyDescent="0.3"/>
    <row r="517" s="265" customFormat="1" x14ac:dyDescent="0.3"/>
    <row r="518" s="265" customFormat="1" x14ac:dyDescent="0.3"/>
    <row r="519" s="265" customFormat="1" x14ac:dyDescent="0.3"/>
    <row r="520" s="265" customFormat="1" x14ac:dyDescent="0.3"/>
    <row r="521" s="265" customFormat="1" x14ac:dyDescent="0.3"/>
    <row r="522" s="265" customFormat="1" x14ac:dyDescent="0.3"/>
    <row r="523" s="265" customFormat="1" x14ac:dyDescent="0.3"/>
    <row r="524" s="265" customFormat="1" x14ac:dyDescent="0.3"/>
    <row r="525" s="265" customFormat="1" x14ac:dyDescent="0.3"/>
    <row r="526" s="265" customFormat="1" x14ac:dyDescent="0.3"/>
    <row r="527" s="265" customFormat="1" x14ac:dyDescent="0.3"/>
    <row r="528" s="265" customFormat="1" x14ac:dyDescent="0.3"/>
    <row r="529" s="265" customFormat="1" x14ac:dyDescent="0.3"/>
    <row r="530" s="265" customFormat="1" x14ac:dyDescent="0.3"/>
    <row r="531" s="265" customFormat="1" x14ac:dyDescent="0.3"/>
    <row r="532" s="265" customFormat="1" x14ac:dyDescent="0.3"/>
    <row r="533" s="265" customFormat="1" x14ac:dyDescent="0.3"/>
    <row r="534" s="265" customFormat="1" x14ac:dyDescent="0.3"/>
    <row r="535" s="265" customFormat="1" x14ac:dyDescent="0.3"/>
    <row r="536" s="265" customFormat="1" x14ac:dyDescent="0.3"/>
    <row r="537" s="265" customFormat="1" x14ac:dyDescent="0.3"/>
    <row r="538" s="265" customFormat="1" x14ac:dyDescent="0.3"/>
    <row r="539" s="265" customFormat="1" x14ac:dyDescent="0.3"/>
    <row r="540" s="265" customFormat="1" x14ac:dyDescent="0.3"/>
    <row r="541" s="265" customFormat="1" x14ac:dyDescent="0.3"/>
    <row r="542" s="265" customFormat="1" x14ac:dyDescent="0.3"/>
    <row r="543" s="265" customFormat="1" x14ac:dyDescent="0.3"/>
    <row r="544" s="265" customFormat="1" x14ac:dyDescent="0.3"/>
    <row r="545" s="265" customFormat="1" x14ac:dyDescent="0.3"/>
    <row r="546" s="265" customFormat="1" x14ac:dyDescent="0.3"/>
    <row r="547" s="265" customFormat="1" x14ac:dyDescent="0.3"/>
    <row r="548" s="265" customFormat="1" x14ac:dyDescent="0.3"/>
    <row r="549" s="265" customFormat="1" x14ac:dyDescent="0.3"/>
    <row r="550" s="265" customFormat="1" x14ac:dyDescent="0.3"/>
    <row r="551" s="265" customFormat="1" x14ac:dyDescent="0.3"/>
    <row r="552" s="265" customFormat="1" x14ac:dyDescent="0.3"/>
    <row r="553" s="265" customFormat="1" x14ac:dyDescent="0.3"/>
    <row r="554" s="265" customFormat="1" x14ac:dyDescent="0.3"/>
    <row r="555" s="265" customFormat="1" x14ac:dyDescent="0.3"/>
    <row r="556" s="265" customFormat="1" x14ac:dyDescent="0.3"/>
    <row r="557" s="265" customFormat="1" x14ac:dyDescent="0.3"/>
    <row r="558" s="265" customFormat="1" x14ac:dyDescent="0.3"/>
    <row r="559" s="265" customFormat="1" x14ac:dyDescent="0.3"/>
    <row r="560" s="265" customFormat="1" x14ac:dyDescent="0.3"/>
    <row r="561" s="265" customFormat="1" x14ac:dyDescent="0.3"/>
    <row r="562" s="265" customFormat="1" x14ac:dyDescent="0.3"/>
    <row r="563" s="265" customFormat="1" x14ac:dyDescent="0.3"/>
    <row r="564" s="265" customFormat="1" x14ac:dyDescent="0.3"/>
    <row r="565" s="265" customFormat="1" x14ac:dyDescent="0.3"/>
    <row r="566" s="265" customFormat="1" x14ac:dyDescent="0.3"/>
    <row r="567" s="265" customFormat="1" x14ac:dyDescent="0.3"/>
    <row r="568" s="265" customFormat="1" x14ac:dyDescent="0.3"/>
    <row r="569" s="265" customFormat="1" x14ac:dyDescent="0.3"/>
    <row r="570" s="265" customFormat="1" x14ac:dyDescent="0.3"/>
    <row r="571" s="265" customFormat="1" x14ac:dyDescent="0.3"/>
    <row r="572" s="265" customFormat="1" x14ac:dyDescent="0.3"/>
    <row r="573" s="265" customFormat="1" x14ac:dyDescent="0.3"/>
    <row r="574" s="265" customFormat="1" x14ac:dyDescent="0.3"/>
    <row r="575" s="265" customFormat="1" x14ac:dyDescent="0.3"/>
    <row r="576" s="265" customFormat="1" x14ac:dyDescent="0.3"/>
    <row r="577" s="265" customFormat="1" x14ac:dyDescent="0.3"/>
    <row r="578" s="265" customFormat="1" x14ac:dyDescent="0.3"/>
    <row r="579" s="265" customFormat="1" x14ac:dyDescent="0.3"/>
    <row r="580" s="265" customFormat="1" x14ac:dyDescent="0.3"/>
    <row r="581" s="265" customFormat="1" x14ac:dyDescent="0.3"/>
    <row r="582" s="265" customFormat="1" x14ac:dyDescent="0.3"/>
    <row r="583" s="265" customFormat="1" x14ac:dyDescent="0.3"/>
    <row r="584" s="265" customFormat="1" x14ac:dyDescent="0.3"/>
    <row r="585" s="265" customFormat="1" x14ac:dyDescent="0.3"/>
    <row r="586" s="265" customFormat="1" x14ac:dyDescent="0.3"/>
    <row r="587" s="265" customFormat="1" x14ac:dyDescent="0.3"/>
    <row r="588" s="265" customFormat="1" x14ac:dyDescent="0.3"/>
    <row r="589" s="265" customFormat="1" x14ac:dyDescent="0.3"/>
    <row r="590" s="265" customFormat="1" x14ac:dyDescent="0.3"/>
    <row r="591" s="265" customFormat="1" x14ac:dyDescent="0.3"/>
    <row r="592" s="265" customFormat="1" x14ac:dyDescent="0.3"/>
    <row r="593" s="265" customFormat="1" x14ac:dyDescent="0.3"/>
    <row r="594" s="265" customFormat="1" x14ac:dyDescent="0.3"/>
    <row r="595" s="265" customFormat="1" x14ac:dyDescent="0.3"/>
    <row r="596" s="265" customFormat="1" x14ac:dyDescent="0.3"/>
    <row r="597" s="265" customFormat="1" x14ac:dyDescent="0.3"/>
    <row r="598" s="265" customFormat="1" x14ac:dyDescent="0.3"/>
    <row r="599" s="265" customFormat="1" x14ac:dyDescent="0.3"/>
    <row r="600" s="265" customFormat="1" x14ac:dyDescent="0.3"/>
    <row r="601" s="265" customFormat="1" x14ac:dyDescent="0.3"/>
    <row r="602" s="265" customFormat="1" x14ac:dyDescent="0.3"/>
    <row r="603" s="265" customFormat="1" x14ac:dyDescent="0.3"/>
    <row r="604" s="265" customFormat="1" x14ac:dyDescent="0.3"/>
    <row r="605" s="265" customFormat="1" x14ac:dyDescent="0.3"/>
    <row r="606" s="265" customFormat="1" x14ac:dyDescent="0.3"/>
    <row r="607" s="265" customFormat="1" x14ac:dyDescent="0.3"/>
    <row r="608" s="265" customFormat="1" x14ac:dyDescent="0.3"/>
    <row r="609" s="265" customFormat="1" x14ac:dyDescent="0.3"/>
    <row r="610" s="265" customFormat="1" x14ac:dyDescent="0.3"/>
    <row r="611" s="265" customFormat="1" x14ac:dyDescent="0.3"/>
    <row r="612" s="265" customFormat="1" x14ac:dyDescent="0.3"/>
    <row r="613" s="265" customFormat="1" x14ac:dyDescent="0.3"/>
    <row r="614" s="265" customFormat="1" x14ac:dyDescent="0.3"/>
    <row r="615" s="265" customFormat="1" x14ac:dyDescent="0.3"/>
    <row r="616" s="265" customFormat="1" x14ac:dyDescent="0.3"/>
    <row r="617" s="265" customFormat="1" x14ac:dyDescent="0.3"/>
    <row r="618" s="265" customFormat="1" x14ac:dyDescent="0.3"/>
    <row r="619" s="265" customFormat="1" x14ac:dyDescent="0.3"/>
    <row r="620" s="265" customFormat="1" x14ac:dyDescent="0.3"/>
    <row r="621" s="265" customFormat="1" x14ac:dyDescent="0.3"/>
    <row r="622" s="265" customFormat="1" x14ac:dyDescent="0.3"/>
    <row r="623" s="265" customFormat="1" x14ac:dyDescent="0.3"/>
    <row r="624" s="265" customFormat="1" x14ac:dyDescent="0.3"/>
    <row r="625" s="265" customFormat="1" x14ac:dyDescent="0.3"/>
    <row r="626" s="265" customFormat="1" x14ac:dyDescent="0.3"/>
    <row r="627" s="265" customFormat="1" x14ac:dyDescent="0.3"/>
    <row r="628" s="265" customFormat="1" x14ac:dyDescent="0.3"/>
    <row r="629" s="265" customFormat="1" x14ac:dyDescent="0.3"/>
    <row r="630" s="265" customFormat="1" x14ac:dyDescent="0.3"/>
    <row r="631" s="265" customFormat="1" x14ac:dyDescent="0.3"/>
    <row r="632" s="265" customFormat="1" x14ac:dyDescent="0.3"/>
    <row r="633" s="265" customFormat="1" x14ac:dyDescent="0.3"/>
    <row r="634" s="265" customFormat="1" x14ac:dyDescent="0.3"/>
    <row r="635" s="265" customFormat="1" x14ac:dyDescent="0.3"/>
    <row r="636" s="265" customFormat="1" x14ac:dyDescent="0.3"/>
    <row r="637" s="265" customFormat="1" x14ac:dyDescent="0.3"/>
    <row r="638" s="265" customFormat="1" x14ac:dyDescent="0.3"/>
    <row r="639" s="265" customFormat="1" x14ac:dyDescent="0.3"/>
    <row r="640" s="265" customFormat="1" x14ac:dyDescent="0.3"/>
    <row r="641" s="265" customFormat="1" x14ac:dyDescent="0.3"/>
    <row r="642" s="265" customFormat="1" x14ac:dyDescent="0.3"/>
    <row r="643" s="265" customFormat="1" x14ac:dyDescent="0.3"/>
    <row r="644" s="265" customFormat="1" x14ac:dyDescent="0.3"/>
    <row r="645" s="265" customFormat="1" x14ac:dyDescent="0.3"/>
    <row r="646" s="265" customFormat="1" x14ac:dyDescent="0.3"/>
    <row r="647" s="265" customFormat="1" x14ac:dyDescent="0.3"/>
    <row r="648" s="265" customFormat="1" x14ac:dyDescent="0.3"/>
    <row r="649" s="265" customFormat="1" x14ac:dyDescent="0.3"/>
    <row r="650" s="265" customFormat="1" x14ac:dyDescent="0.3"/>
    <row r="651" s="265" customFormat="1" x14ac:dyDescent="0.3"/>
    <row r="652" s="265" customFormat="1" x14ac:dyDescent="0.3"/>
    <row r="653" s="265" customFormat="1" x14ac:dyDescent="0.3"/>
    <row r="654" s="265" customFormat="1" x14ac:dyDescent="0.3"/>
    <row r="655" s="265" customFormat="1" x14ac:dyDescent="0.3"/>
    <row r="656" s="265" customFormat="1" x14ac:dyDescent="0.3"/>
    <row r="657" s="265" customFormat="1" x14ac:dyDescent="0.3"/>
    <row r="658" s="265" customFormat="1" x14ac:dyDescent="0.3"/>
    <row r="659" s="265" customFormat="1" x14ac:dyDescent="0.3"/>
    <row r="660" s="265" customFormat="1" x14ac:dyDescent="0.3"/>
    <row r="661" s="265" customFormat="1" x14ac:dyDescent="0.3"/>
    <row r="662" s="265" customFormat="1" x14ac:dyDescent="0.3"/>
    <row r="663" s="265" customFormat="1" x14ac:dyDescent="0.3"/>
    <row r="664" s="265" customFormat="1" x14ac:dyDescent="0.3"/>
    <row r="665" s="265" customFormat="1" x14ac:dyDescent="0.3"/>
    <row r="666" s="265" customFormat="1" x14ac:dyDescent="0.3"/>
    <row r="667" s="265" customFormat="1" x14ac:dyDescent="0.3"/>
    <row r="668" s="265" customFormat="1" x14ac:dyDescent="0.3"/>
    <row r="669" s="265" customFormat="1" x14ac:dyDescent="0.3"/>
    <row r="670" s="265" customFormat="1" x14ac:dyDescent="0.3"/>
    <row r="671" s="265" customFormat="1" x14ac:dyDescent="0.3"/>
    <row r="672" s="265" customFormat="1" x14ac:dyDescent="0.3"/>
    <row r="673" s="265" customFormat="1" x14ac:dyDescent="0.3"/>
    <row r="674" s="265" customFormat="1" x14ac:dyDescent="0.3"/>
    <row r="675" s="265" customFormat="1" x14ac:dyDescent="0.3"/>
    <row r="676" s="265" customFormat="1" x14ac:dyDescent="0.3"/>
    <row r="677" s="265" customFormat="1" x14ac:dyDescent="0.3"/>
    <row r="678" s="265" customFormat="1" x14ac:dyDescent="0.3"/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D40"/>
  <sheetViews>
    <sheetView workbookViewId="0">
      <selection activeCell="A3" sqref="A3:A6"/>
    </sheetView>
  </sheetViews>
  <sheetFormatPr baseColWidth="10" defaultColWidth="9.109375" defaultRowHeight="14.4" x14ac:dyDescent="0.3"/>
  <cols>
    <col min="1" max="1" width="22.5546875" style="265" customWidth="1"/>
    <col min="2" max="4" width="17.88671875" style="265" customWidth="1"/>
    <col min="5" max="7" width="10.88671875" style="265" bestFit="1" customWidth="1"/>
    <col min="8" max="8" width="11.88671875" style="265" bestFit="1" customWidth="1"/>
    <col min="9" max="9" width="10.88671875" style="265" bestFit="1" customWidth="1"/>
    <col min="10" max="10" width="10.109375" style="265" bestFit="1" customWidth="1"/>
    <col min="11" max="11" width="18.5546875" style="265" bestFit="1" customWidth="1"/>
    <col min="12" max="12" width="12.5546875" style="265" bestFit="1" customWidth="1"/>
    <col min="13" max="13" width="6.33203125" style="265" bestFit="1" customWidth="1"/>
    <col min="14" max="14" width="7.88671875" style="265" bestFit="1" customWidth="1"/>
    <col min="15" max="15" width="11.88671875" style="265" bestFit="1" customWidth="1"/>
    <col min="16" max="16384" width="9.109375" style="265"/>
  </cols>
  <sheetData>
    <row r="1" spans="1:4" x14ac:dyDescent="0.3">
      <c r="A1" s="264" t="s">
        <v>281</v>
      </c>
    </row>
    <row r="3" spans="1:4" ht="33.75" customHeight="1" x14ac:dyDescent="0.3">
      <c r="A3" s="460" t="s">
        <v>40</v>
      </c>
      <c r="B3" s="276" t="s">
        <v>140</v>
      </c>
      <c r="C3" s="392"/>
      <c r="D3" s="392"/>
    </row>
    <row r="4" spans="1:4" ht="15" customHeight="1" x14ac:dyDescent="0.3">
      <c r="A4" s="460"/>
      <c r="B4" s="276">
        <v>2023</v>
      </c>
      <c r="C4" s="392"/>
      <c r="D4" s="392"/>
    </row>
    <row r="5" spans="1:4" x14ac:dyDescent="0.3">
      <c r="A5" s="460"/>
      <c r="B5" s="276"/>
      <c r="C5" s="392"/>
      <c r="D5" s="392"/>
    </row>
    <row r="6" spans="1:4" x14ac:dyDescent="0.3">
      <c r="A6" s="460"/>
      <c r="B6" s="276" t="s">
        <v>39</v>
      </c>
      <c r="C6" s="392"/>
      <c r="D6" s="392"/>
    </row>
    <row r="7" spans="1:4" x14ac:dyDescent="0.3">
      <c r="A7" s="277" t="s">
        <v>49</v>
      </c>
      <c r="B7" s="291">
        <f>($B$33-B28)*('ANNEXE 1 Grille'!C5/'ANNEXE 1 Grille'!C$41)</f>
        <v>2323.153288737707</v>
      </c>
      <c r="D7" s="393"/>
    </row>
    <row r="8" spans="1:4" x14ac:dyDescent="0.3">
      <c r="A8" s="278" t="s">
        <v>50</v>
      </c>
      <c r="B8" s="292"/>
      <c r="D8" s="393"/>
    </row>
    <row r="9" spans="1:4" x14ac:dyDescent="0.3">
      <c r="A9" s="268" t="s">
        <v>51</v>
      </c>
      <c r="B9" s="291">
        <f>($B$33-$B$28)*('ANNEXE 1 Grille'!C7/'ANNEXE 1 Grille'!C$41)</f>
        <v>1463.9822427811828</v>
      </c>
      <c r="D9" s="393"/>
    </row>
    <row r="10" spans="1:4" x14ac:dyDescent="0.3">
      <c r="A10" s="268" t="s">
        <v>52</v>
      </c>
      <c r="B10" s="291">
        <f>($B$33-$B$28)*('ANNEXE 1 Grille'!C8/'ANNEXE 1 Grille'!C$41)</f>
        <v>751.77466521195868</v>
      </c>
      <c r="D10" s="393"/>
    </row>
    <row r="11" spans="1:4" x14ac:dyDescent="0.3">
      <c r="A11" s="277" t="s">
        <v>53</v>
      </c>
      <c r="B11" s="291">
        <f>($B$33-$B$28)*('ANNEXE 1 Grille'!C9/'ANNEXE 1 Grille'!C$41)</f>
        <v>7986.8992627405851</v>
      </c>
      <c r="D11" s="393"/>
    </row>
    <row r="12" spans="1:4" x14ac:dyDescent="0.3">
      <c r="A12" s="277" t="s">
        <v>54</v>
      </c>
      <c r="B12" s="291">
        <f>($B$33-$B$28)*('ANNEXE 1 Grille'!C10/'ANNEXE 1 Grille'!C$41)</f>
        <v>4725.4407527608828</v>
      </c>
      <c r="D12" s="393"/>
    </row>
    <row r="13" spans="1:4" x14ac:dyDescent="0.3">
      <c r="A13" s="277" t="s">
        <v>55</v>
      </c>
      <c r="B13" s="291">
        <f>($B$33-$B$28)*('ANNEXE 1 Grille'!C11/'ANNEXE 1 Grille'!C$41)</f>
        <v>231.75008476458879</v>
      </c>
      <c r="D13" s="393"/>
    </row>
    <row r="14" spans="1:4" x14ac:dyDescent="0.3">
      <c r="A14" s="278" t="s">
        <v>56</v>
      </c>
      <c r="B14" s="292"/>
      <c r="D14" s="393"/>
    </row>
    <row r="15" spans="1:4" x14ac:dyDescent="0.3">
      <c r="A15" s="277" t="s">
        <v>57</v>
      </c>
      <c r="B15" s="291">
        <f>($B$33-$B$28)*('ANNEXE 1 Grille'!C13/'ANNEXE 1 Grille'!C$41)</f>
        <v>8314.7408460661009</v>
      </c>
      <c r="D15" s="393"/>
    </row>
    <row r="16" spans="1:4" x14ac:dyDescent="0.3">
      <c r="A16" s="278" t="s">
        <v>58</v>
      </c>
      <c r="B16" s="292"/>
      <c r="D16" s="393"/>
    </row>
    <row r="17" spans="1:4" x14ac:dyDescent="0.3">
      <c r="A17" s="277" t="s">
        <v>59</v>
      </c>
      <c r="B17" s="291">
        <f>($B$33-$B$28)*('ANNEXE 1 Grille'!C15/'ANNEXE 1 Grille'!C$41)</f>
        <v>1170.0553060065824</v>
      </c>
      <c r="D17" s="393"/>
    </row>
    <row r="18" spans="1:4" x14ac:dyDescent="0.3">
      <c r="A18" s="278" t="s">
        <v>60</v>
      </c>
      <c r="B18" s="292"/>
      <c r="D18" s="393"/>
    </row>
    <row r="19" spans="1:4" x14ac:dyDescent="0.3">
      <c r="A19" s="277" t="s">
        <v>61</v>
      </c>
      <c r="B19" s="291">
        <f>($B$33-$B$28)*('ANNEXE 1 Grille'!C17/'ANNEXE 1 Grille'!C$41)</f>
        <v>3617.5622987643128</v>
      </c>
      <c r="D19" s="393"/>
    </row>
    <row r="20" spans="1:4" x14ac:dyDescent="0.3">
      <c r="A20" s="277" t="s">
        <v>62</v>
      </c>
      <c r="B20" s="291">
        <f>($B$33-$B$28)*('ANNEXE 1 Grille'!C18/'ANNEXE 1 Grille'!C$41)</f>
        <v>5279.3799797591691</v>
      </c>
      <c r="D20" s="393"/>
    </row>
    <row r="21" spans="1:4" x14ac:dyDescent="0.3">
      <c r="A21" s="278" t="s">
        <v>63</v>
      </c>
      <c r="B21" s="292"/>
      <c r="D21" s="393"/>
    </row>
    <row r="22" spans="1:4" x14ac:dyDescent="0.3">
      <c r="A22" s="277" t="s">
        <v>64</v>
      </c>
      <c r="B22" s="291">
        <f>($B$33-$B$28)*('ANNEXE 1 Grille'!C20/'ANNEXE 1 Grille'!C$41)</f>
        <v>2458.8118749413688</v>
      </c>
      <c r="D22" s="393"/>
    </row>
    <row r="23" spans="1:4" x14ac:dyDescent="0.3">
      <c r="A23" s="277" t="s">
        <v>65</v>
      </c>
      <c r="B23" s="291">
        <f>($B$33-$B$28)*('ANNEXE 1 Grille'!C21/'ANNEXE 1 Grille'!C$41)</f>
        <v>938.30522124199365</v>
      </c>
      <c r="D23" s="393"/>
    </row>
    <row r="24" spans="1:4" x14ac:dyDescent="0.3">
      <c r="A24" s="278" t="s">
        <v>66</v>
      </c>
      <c r="B24" s="292"/>
      <c r="D24" s="393"/>
    </row>
    <row r="25" spans="1:4" x14ac:dyDescent="0.3">
      <c r="A25" s="277" t="s">
        <v>67</v>
      </c>
      <c r="B25" s="291">
        <f>($B$33-$B$28)*('ANNEXE 1 Grille'!C23/'ANNEXE 1 Grille'!C$41)</f>
        <v>1735.2994151885064</v>
      </c>
      <c r="D25" s="393"/>
    </row>
    <row r="26" spans="1:4" x14ac:dyDescent="0.3">
      <c r="A26" s="277" t="s">
        <v>68</v>
      </c>
      <c r="B26" s="291">
        <f>($B$33-$B$28)*('ANNEXE 1 Grille'!C24/'ANNEXE 1 Grille'!C$41)</f>
        <v>3487.5561536524701</v>
      </c>
      <c r="D26" s="393"/>
    </row>
    <row r="27" spans="1:4" x14ac:dyDescent="0.3">
      <c r="A27" s="277" t="s">
        <v>69</v>
      </c>
      <c r="B27" s="291">
        <f>($B$33-$B$28)*('ANNEXE 1 Grille'!C25/'ANNEXE 1 Grille'!C$41)</f>
        <v>4312.8125530580801</v>
      </c>
      <c r="D27" s="393"/>
    </row>
    <row r="28" spans="1:4" x14ac:dyDescent="0.3">
      <c r="A28" s="281" t="s">
        <v>129</v>
      </c>
      <c r="B28" s="298">
        <f>B33*B39</f>
        <v>32531.682630450327</v>
      </c>
      <c r="D28" s="394"/>
    </row>
    <row r="29" spans="1:4" ht="19.5" customHeight="1" x14ac:dyDescent="0.3">
      <c r="A29" s="279" t="s">
        <v>72</v>
      </c>
      <c r="B29" s="293">
        <f>SUM(B7:B28)</f>
        <v>81329.206576125813</v>
      </c>
      <c r="C29" s="395"/>
      <c r="D29" s="395"/>
    </row>
    <row r="30" spans="1:4" ht="26.25" customHeight="1" x14ac:dyDescent="0.3">
      <c r="A30" s="272" t="s">
        <v>130</v>
      </c>
      <c r="B30" s="270">
        <f>B29-B28</f>
        <v>48797.523945675486</v>
      </c>
      <c r="C30" s="270"/>
      <c r="D30" s="270"/>
    </row>
    <row r="31" spans="1:4" ht="15" customHeight="1" x14ac:dyDescent="0.3">
      <c r="A31" s="280"/>
      <c r="B31" s="280"/>
    </row>
    <row r="32" spans="1:4" ht="15" customHeight="1" x14ac:dyDescent="0.3">
      <c r="A32" s="281" t="s">
        <v>141</v>
      </c>
      <c r="B32" s="276" t="s">
        <v>39</v>
      </c>
      <c r="C32" s="297" t="s">
        <v>283</v>
      </c>
    </row>
    <row r="33" spans="1:3" ht="15" customHeight="1" x14ac:dyDescent="0.3">
      <c r="A33" s="282" t="s">
        <v>201</v>
      </c>
      <c r="B33" s="283">
        <f>B35*B37</f>
        <v>81329.206576125813</v>
      </c>
      <c r="C33" s="297" t="b">
        <f>B33=B29</f>
        <v>1</v>
      </c>
    </row>
    <row r="34" spans="1:3" ht="15" customHeight="1" x14ac:dyDescent="0.3">
      <c r="A34" s="282" t="s">
        <v>202</v>
      </c>
      <c r="B34" s="283">
        <f>B33*1.2</f>
        <v>97595.047891350972</v>
      </c>
      <c r="C34" s="297"/>
    </row>
    <row r="35" spans="1:3" ht="15" customHeight="1" x14ac:dyDescent="0.3">
      <c r="A35" s="282" t="s">
        <v>142</v>
      </c>
      <c r="B35" s="283">
        <v>79455</v>
      </c>
      <c r="C35" s="297"/>
    </row>
    <row r="36" spans="1:3" x14ac:dyDescent="0.3">
      <c r="A36" s="282" t="s">
        <v>143</v>
      </c>
      <c r="B36" s="283">
        <f>B35*1.2</f>
        <v>95346</v>
      </c>
      <c r="C36" s="297"/>
    </row>
    <row r="37" spans="1:3" x14ac:dyDescent="0.3">
      <c r="A37" s="282" t="s">
        <v>285</v>
      </c>
      <c r="B37" s="271">
        <f>'Indice Syntec'!C4</f>
        <v>1.0235882773409579</v>
      </c>
      <c r="C37" s="297" t="s">
        <v>268</v>
      </c>
    </row>
    <row r="39" spans="1:3" x14ac:dyDescent="0.3">
      <c r="A39" s="282" t="s">
        <v>269</v>
      </c>
      <c r="B39" s="274">
        <v>0.4</v>
      </c>
    </row>
    <row r="40" spans="1:3" x14ac:dyDescent="0.3">
      <c r="A40" s="282" t="s">
        <v>270</v>
      </c>
      <c r="B40" s="274">
        <f>1-B39</f>
        <v>0.6</v>
      </c>
    </row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D40"/>
  <sheetViews>
    <sheetView workbookViewId="0">
      <selection activeCell="A3" sqref="A3:A6"/>
    </sheetView>
  </sheetViews>
  <sheetFormatPr baseColWidth="10" defaultColWidth="9.109375" defaultRowHeight="14.4" x14ac:dyDescent="0.3"/>
  <cols>
    <col min="1" max="1" width="22.5546875" style="265" customWidth="1"/>
    <col min="2" max="4" width="16.88671875" style="265" customWidth="1"/>
    <col min="5" max="5" width="15.44140625" style="265" customWidth="1"/>
    <col min="6" max="6" width="13.88671875" style="265" customWidth="1"/>
    <col min="7" max="9" width="10.88671875" style="265" bestFit="1" customWidth="1"/>
    <col min="10" max="10" width="11.88671875" style="265" bestFit="1" customWidth="1"/>
    <col min="11" max="11" width="10.88671875" style="265" bestFit="1" customWidth="1"/>
    <col min="12" max="12" width="10.109375" style="265" bestFit="1" customWidth="1"/>
    <col min="13" max="13" width="18.5546875" style="265" bestFit="1" customWidth="1"/>
    <col min="14" max="14" width="12.5546875" style="265" bestFit="1" customWidth="1"/>
    <col min="15" max="15" width="6.33203125" style="265" bestFit="1" customWidth="1"/>
    <col min="16" max="16" width="7.88671875" style="265" bestFit="1" customWidth="1"/>
    <col min="17" max="17" width="11.88671875" style="265" bestFit="1" customWidth="1"/>
    <col min="18" max="16384" width="9.109375" style="265"/>
  </cols>
  <sheetData>
    <row r="1" spans="1:4" x14ac:dyDescent="0.3">
      <c r="A1" s="264" t="s">
        <v>282</v>
      </c>
    </row>
    <row r="3" spans="1:4" ht="33.75" customHeight="1" x14ac:dyDescent="0.3">
      <c r="A3" s="460" t="s">
        <v>40</v>
      </c>
      <c r="B3" s="276" t="s">
        <v>144</v>
      </c>
      <c r="C3" s="276" t="s">
        <v>144</v>
      </c>
      <c r="D3" s="276" t="s">
        <v>144</v>
      </c>
    </row>
    <row r="4" spans="1:4" ht="15" customHeight="1" x14ac:dyDescent="0.3">
      <c r="A4" s="460"/>
      <c r="B4" s="276">
        <v>2023</v>
      </c>
      <c r="C4" s="276">
        <v>2023</v>
      </c>
      <c r="D4" s="276">
        <v>2023</v>
      </c>
    </row>
    <row r="5" spans="1:4" x14ac:dyDescent="0.3">
      <c r="A5" s="460"/>
      <c r="B5" s="276"/>
      <c r="C5" s="276"/>
      <c r="D5" s="276"/>
    </row>
    <row r="6" spans="1:4" ht="43.2" x14ac:dyDescent="0.3">
      <c r="A6" s="460"/>
      <c r="B6" s="276" t="s">
        <v>126</v>
      </c>
      <c r="C6" s="276" t="s">
        <v>259</v>
      </c>
      <c r="D6" s="276" t="s">
        <v>260</v>
      </c>
    </row>
    <row r="7" spans="1:4" x14ac:dyDescent="0.3">
      <c r="A7" s="277" t="s">
        <v>49</v>
      </c>
      <c r="B7" s="291">
        <f>($B$33-$B$28)*('ANNEXE 1 Grille'!C5/'ANNEXE 1 Grille'!C$40)</f>
        <v>3157.8541580045112</v>
      </c>
      <c r="C7" s="291"/>
      <c r="D7" s="291">
        <f t="shared" ref="D7:D30" si="0">B7+C7</f>
        <v>3157.8541580045112</v>
      </c>
    </row>
    <row r="8" spans="1:4" x14ac:dyDescent="0.3">
      <c r="A8" s="278" t="s">
        <v>50</v>
      </c>
      <c r="B8" s="292"/>
      <c r="C8" s="292"/>
      <c r="D8" s="292">
        <f t="shared" si="0"/>
        <v>0</v>
      </c>
    </row>
    <row r="9" spans="1:4" x14ac:dyDescent="0.3">
      <c r="A9" s="277" t="s">
        <v>51</v>
      </c>
      <c r="B9" s="291">
        <f>($B$33-$B$28)*('ANNEXE 1 Grille'!C7/'ANNEXE 1 Grille'!C$40)</f>
        <v>1989.9859535843514</v>
      </c>
      <c r="C9" s="291"/>
      <c r="D9" s="291">
        <f t="shared" si="0"/>
        <v>1989.9859535843514</v>
      </c>
    </row>
    <row r="10" spans="1:4" x14ac:dyDescent="0.3">
      <c r="A10" s="268" t="s">
        <v>52</v>
      </c>
      <c r="B10" s="291">
        <f>($B$33-$B$28)*('ANNEXE 1 Grille'!C8/'ANNEXE 1 Grille'!C$40)</f>
        <v>1021.8846788676398</v>
      </c>
      <c r="C10" s="291"/>
      <c r="D10" s="291">
        <f t="shared" si="0"/>
        <v>1021.8846788676398</v>
      </c>
    </row>
    <row r="11" spans="1:4" x14ac:dyDescent="0.3">
      <c r="A11" s="277" t="s">
        <v>53</v>
      </c>
      <c r="B11" s="291">
        <f>($B$33-$B$28)*('ANNEXE 1 Grille'!C9/'ANNEXE 1 Grille'!C$40)</f>
        <v>10856.564295037408</v>
      </c>
      <c r="C11" s="291"/>
      <c r="D11" s="291">
        <f t="shared" si="0"/>
        <v>10856.564295037408</v>
      </c>
    </row>
    <row r="12" spans="1:4" x14ac:dyDescent="0.3">
      <c r="A12" s="277" t="s">
        <v>54</v>
      </c>
      <c r="B12" s="291">
        <f>($B$33-$B$28)*('ANNEXE 1 Grille'!C10/'ANNEXE 1 Grille'!C$40)</f>
        <v>6423.2751243108796</v>
      </c>
      <c r="C12" s="291">
        <f>1*397*B37</f>
        <v>406.36454610436027</v>
      </c>
      <c r="D12" s="291">
        <f t="shared" si="0"/>
        <v>6829.6396704152403</v>
      </c>
    </row>
    <row r="13" spans="1:4" x14ac:dyDescent="0.3">
      <c r="A13" s="277" t="s">
        <v>55</v>
      </c>
      <c r="B13" s="291">
        <f>($B$33-$B$28)*('ANNEXE 1 Grille'!C11/'ANNEXE 1 Grille'!C$40)</f>
        <v>315.0170814554379</v>
      </c>
      <c r="C13" s="291"/>
      <c r="D13" s="291">
        <f t="shared" si="0"/>
        <v>315.0170814554379</v>
      </c>
    </row>
    <row r="14" spans="1:4" x14ac:dyDescent="0.3">
      <c r="A14" s="278" t="s">
        <v>56</v>
      </c>
      <c r="B14" s="292"/>
      <c r="C14" s="292"/>
      <c r="D14" s="292">
        <f t="shared" si="0"/>
        <v>0</v>
      </c>
    </row>
    <row r="15" spans="1:4" x14ac:dyDescent="0.3">
      <c r="A15" s="278" t="s">
        <v>57</v>
      </c>
      <c r="B15" s="292"/>
      <c r="C15" s="292"/>
      <c r="D15" s="292">
        <f t="shared" si="0"/>
        <v>0</v>
      </c>
    </row>
    <row r="16" spans="1:4" x14ac:dyDescent="0.3">
      <c r="A16" s="278" t="s">
        <v>58</v>
      </c>
      <c r="B16" s="292"/>
      <c r="C16" s="292"/>
      <c r="D16" s="292">
        <f t="shared" si="0"/>
        <v>0</v>
      </c>
    </row>
    <row r="17" spans="1:4" x14ac:dyDescent="0.3">
      <c r="A17" s="277" t="s">
        <v>59</v>
      </c>
      <c r="B17" s="291">
        <f>($B$33-$B$28)*('ANNEXE 1 Grille'!C15/'ANNEXE 1 Grille'!C$40)</f>
        <v>1590.4520941774545</v>
      </c>
      <c r="C17" s="291"/>
      <c r="D17" s="291">
        <f t="shared" si="0"/>
        <v>1590.4520941774545</v>
      </c>
    </row>
    <row r="18" spans="1:4" x14ac:dyDescent="0.3">
      <c r="A18" s="278" t="s">
        <v>60</v>
      </c>
      <c r="B18" s="292"/>
      <c r="C18" s="292"/>
      <c r="D18" s="292">
        <f t="shared" si="0"/>
        <v>0</v>
      </c>
    </row>
    <row r="19" spans="1:4" x14ac:dyDescent="0.3">
      <c r="A19" s="277" t="s">
        <v>61</v>
      </c>
      <c r="B19" s="291">
        <f>($B$33-$B$28)*('ANNEXE 1 Grille'!C17/'ANNEXE 1 Grille'!C$40)</f>
        <v>4917.3398080848838</v>
      </c>
      <c r="C19" s="291"/>
      <c r="D19" s="291">
        <f t="shared" si="0"/>
        <v>4917.3398080848838</v>
      </c>
    </row>
    <row r="20" spans="1:4" x14ac:dyDescent="0.3">
      <c r="A20" s="277" t="s">
        <v>62</v>
      </c>
      <c r="B20" s="291">
        <f>($B$33-$B$28)*('ANNEXE 1 Grille'!C18/'ANNEXE 1 Grille'!C$40)</f>
        <v>7176.2427824238766</v>
      </c>
      <c r="C20" s="291">
        <f>5*397*B37</f>
        <v>2031.8227305218015</v>
      </c>
      <c r="D20" s="291">
        <f t="shared" si="0"/>
        <v>9208.0655129456791</v>
      </c>
    </row>
    <row r="21" spans="1:4" x14ac:dyDescent="0.3">
      <c r="A21" s="278" t="s">
        <v>63</v>
      </c>
      <c r="B21" s="292"/>
      <c r="C21" s="292"/>
      <c r="D21" s="292">
        <f t="shared" si="0"/>
        <v>0</v>
      </c>
    </row>
    <row r="22" spans="1:4" x14ac:dyDescent="0.3">
      <c r="A22" s="277" t="s">
        <v>64</v>
      </c>
      <c r="B22" s="291">
        <f>($B$33-$B$28)*('ANNEXE 1 Grille'!C20/'ANNEXE 1 Grille'!C$40)</f>
        <v>3342.2544008076943</v>
      </c>
      <c r="C22" s="291"/>
      <c r="D22" s="291">
        <f t="shared" si="0"/>
        <v>3342.2544008076943</v>
      </c>
    </row>
    <row r="23" spans="1:4" x14ac:dyDescent="0.3">
      <c r="A23" s="277" t="s">
        <v>65</v>
      </c>
      <c r="B23" s="291">
        <f>($B$33-$B$28)*('ANNEXE 1 Grille'!C21/'ANNEXE 1 Grille'!C$40)</f>
        <v>1275.4350127220168</v>
      </c>
      <c r="C23" s="291"/>
      <c r="D23" s="291">
        <f t="shared" si="0"/>
        <v>1275.4350127220168</v>
      </c>
    </row>
    <row r="24" spans="1:4" x14ac:dyDescent="0.3">
      <c r="A24" s="278" t="s">
        <v>66</v>
      </c>
      <c r="B24" s="292"/>
      <c r="C24" s="292"/>
      <c r="D24" s="292">
        <f t="shared" si="0"/>
        <v>0</v>
      </c>
    </row>
    <row r="25" spans="1:4" x14ac:dyDescent="0.3">
      <c r="A25" s="277" t="s">
        <v>67</v>
      </c>
      <c r="B25" s="291">
        <f>($B$33-$B$28)*('ANNEXE 1 Grille'!C23/'ANNEXE 1 Grille'!C$40)</f>
        <v>2358.7864391907178</v>
      </c>
      <c r="C25" s="291"/>
      <c r="D25" s="291">
        <f t="shared" si="0"/>
        <v>2358.7864391907178</v>
      </c>
    </row>
    <row r="26" spans="1:4" x14ac:dyDescent="0.3">
      <c r="A26" s="277" t="s">
        <v>68</v>
      </c>
      <c r="B26" s="291">
        <f>($B$33-$B$28)*('ANNEXE 1 Grille'!C24/'ANNEXE 1 Grille'!C$40)</f>
        <v>4740.6229087318334</v>
      </c>
      <c r="C26" s="291"/>
      <c r="D26" s="291">
        <f t="shared" si="0"/>
        <v>4740.6229087318334</v>
      </c>
    </row>
    <row r="27" spans="1:4" x14ac:dyDescent="0.3">
      <c r="A27" s="277" t="s">
        <v>69</v>
      </c>
      <c r="B27" s="291">
        <f>($B$33-$B$28)*('ANNEXE 1 Grille'!C25/'ANNEXE 1 Grille'!C$40)</f>
        <v>5862.3910524511984</v>
      </c>
      <c r="C27" s="291"/>
      <c r="D27" s="291">
        <f t="shared" si="0"/>
        <v>5862.3910524511984</v>
      </c>
    </row>
    <row r="28" spans="1:4" x14ac:dyDescent="0.3">
      <c r="A28" s="281" t="s">
        <v>129</v>
      </c>
      <c r="B28" s="298">
        <f>B33*B39</f>
        <v>36685.403859899932</v>
      </c>
      <c r="C28" s="298"/>
      <c r="D28" s="298">
        <f t="shared" si="0"/>
        <v>36685.403859899932</v>
      </c>
    </row>
    <row r="29" spans="1:4" ht="19.5" customHeight="1" x14ac:dyDescent="0.3">
      <c r="A29" s="279" t="s">
        <v>72</v>
      </c>
      <c r="B29" s="293">
        <f t="shared" ref="B29:C29" si="1">SUM(B7:B28)</f>
        <v>91713.509649749845</v>
      </c>
      <c r="C29" s="293">
        <f t="shared" si="1"/>
        <v>2438.1872766261617</v>
      </c>
      <c r="D29" s="293">
        <f t="shared" si="0"/>
        <v>94151.696926376011</v>
      </c>
    </row>
    <row r="30" spans="1:4" ht="26.25" customHeight="1" x14ac:dyDescent="0.3">
      <c r="A30" s="272" t="s">
        <v>130</v>
      </c>
      <c r="B30" s="270">
        <f t="shared" ref="B30:C30" si="2">B29-B28</f>
        <v>55028.105789849913</v>
      </c>
      <c r="C30" s="270">
        <f t="shared" si="2"/>
        <v>2438.1872766261617</v>
      </c>
      <c r="D30" s="270">
        <f t="shared" si="0"/>
        <v>57466.293066476072</v>
      </c>
    </row>
    <row r="31" spans="1:4" ht="15" customHeight="1" x14ac:dyDescent="0.3">
      <c r="A31" s="280"/>
      <c r="B31" s="280"/>
    </row>
    <row r="32" spans="1:4" ht="15" customHeight="1" x14ac:dyDescent="0.3">
      <c r="A32" s="281" t="s">
        <v>144</v>
      </c>
      <c r="B32" s="276" t="s">
        <v>39</v>
      </c>
      <c r="C32" s="297" t="s">
        <v>283</v>
      </c>
    </row>
    <row r="33" spans="1:3" ht="15" customHeight="1" x14ac:dyDescent="0.3">
      <c r="A33" s="282" t="s">
        <v>201</v>
      </c>
      <c r="B33" s="283">
        <f>B35*B37</f>
        <v>91713.509649749831</v>
      </c>
      <c r="C33" s="297" t="b">
        <f>B33=C29</f>
        <v>0</v>
      </c>
    </row>
    <row r="34" spans="1:3" ht="15" customHeight="1" x14ac:dyDescent="0.3">
      <c r="A34" s="282" t="s">
        <v>202</v>
      </c>
      <c r="B34" s="283">
        <f>B33*1.2</f>
        <v>110056.2115796998</v>
      </c>
      <c r="C34" s="297"/>
    </row>
    <row r="35" spans="1:3" ht="15" customHeight="1" x14ac:dyDescent="0.3">
      <c r="A35" s="282" t="s">
        <v>142</v>
      </c>
      <c r="B35" s="283">
        <v>89600</v>
      </c>
      <c r="C35" s="297"/>
    </row>
    <row r="36" spans="1:3" x14ac:dyDescent="0.3">
      <c r="A36" s="282" t="s">
        <v>143</v>
      </c>
      <c r="B36" s="283">
        <f>B35*1.2</f>
        <v>107520</v>
      </c>
      <c r="C36" s="297"/>
    </row>
    <row r="37" spans="1:3" ht="15" customHeight="1" x14ac:dyDescent="0.3">
      <c r="A37" s="282" t="s">
        <v>285</v>
      </c>
      <c r="B37" s="271">
        <f>'Indice Syntec'!C4</f>
        <v>1.0235882773409579</v>
      </c>
      <c r="C37" s="297" t="s">
        <v>268</v>
      </c>
    </row>
    <row r="39" spans="1:3" x14ac:dyDescent="0.3">
      <c r="A39" s="282" t="s">
        <v>269</v>
      </c>
      <c r="B39" s="274">
        <v>0.4</v>
      </c>
    </row>
    <row r="40" spans="1:3" x14ac:dyDescent="0.3">
      <c r="A40" s="282" t="s">
        <v>270</v>
      </c>
      <c r="B40" s="274">
        <f>1-B39</f>
        <v>0.6</v>
      </c>
    </row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M40"/>
  <sheetViews>
    <sheetView zoomScaleNormal="100" workbookViewId="0">
      <selection activeCell="A3" sqref="A3:A6"/>
    </sheetView>
  </sheetViews>
  <sheetFormatPr baseColWidth="10" defaultColWidth="23.6640625" defaultRowHeight="14.4" x14ac:dyDescent="0.3"/>
  <cols>
    <col min="1" max="16384" width="23.6640625" style="265"/>
  </cols>
  <sheetData>
    <row r="1" spans="1:5" x14ac:dyDescent="0.3">
      <c r="A1" s="264" t="s">
        <v>284</v>
      </c>
    </row>
    <row r="3" spans="1:5" ht="36" customHeight="1" x14ac:dyDescent="0.3">
      <c r="A3" s="460" t="s">
        <v>40</v>
      </c>
      <c r="B3" s="276" t="s">
        <v>145</v>
      </c>
      <c r="E3" s="301"/>
    </row>
    <row r="4" spans="1:5" ht="15" customHeight="1" x14ac:dyDescent="0.3">
      <c r="A4" s="460"/>
      <c r="B4" s="276">
        <v>2023</v>
      </c>
    </row>
    <row r="5" spans="1:5" x14ac:dyDescent="0.3">
      <c r="A5" s="460"/>
      <c r="B5" s="276"/>
    </row>
    <row r="6" spans="1:5" x14ac:dyDescent="0.3">
      <c r="A6" s="460"/>
      <c r="B6" s="276" t="s">
        <v>39</v>
      </c>
    </row>
    <row r="7" spans="1:5" x14ac:dyDescent="0.3">
      <c r="A7" s="277" t="s">
        <v>49</v>
      </c>
      <c r="B7" s="291">
        <f>($B$33-$B$28)*('ANNEXE 1 Grille'!C5/'ANNEXE 1 Grille'!C$38)</f>
        <v>1666.6004336800618</v>
      </c>
    </row>
    <row r="8" spans="1:5" x14ac:dyDescent="0.3">
      <c r="A8" s="278" t="s">
        <v>50</v>
      </c>
      <c r="B8" s="292"/>
    </row>
    <row r="9" spans="1:5" x14ac:dyDescent="0.3">
      <c r="A9" s="277" t="s">
        <v>51</v>
      </c>
      <c r="B9" s="291">
        <f>($B$33-$B$28)*('ANNEXE 1 Grille'!C7/'ANNEXE 1 Grille'!C$38)</f>
        <v>1050.2421224407201</v>
      </c>
    </row>
    <row r="10" spans="1:5" x14ac:dyDescent="0.3">
      <c r="A10" s="277" t="s">
        <v>52</v>
      </c>
      <c r="B10" s="291">
        <f>($B$33-$B$28)*('ANNEXE 1 Grille'!C8/'ANNEXE 1 Grille'!C$38)</f>
        <v>539.31352233442385</v>
      </c>
    </row>
    <row r="11" spans="1:5" x14ac:dyDescent="0.3">
      <c r="A11" s="277" t="s">
        <v>53</v>
      </c>
      <c r="B11" s="291">
        <f>($B$33-$B$28)*('ANNEXE 1 Grille'!C9/'ANNEXE 1 Grille'!C$38)</f>
        <v>5729.6993011920376</v>
      </c>
    </row>
    <row r="12" spans="1:5" x14ac:dyDescent="0.3">
      <c r="A12" s="277" t="s">
        <v>54</v>
      </c>
      <c r="B12" s="291">
        <f>($B$33-$B$28)*('ANNEXE 1 Grille'!C10/'ANNEXE 1 Grille'!C$38)</f>
        <v>3389.9707118163778</v>
      </c>
    </row>
    <row r="13" spans="1:5" x14ac:dyDescent="0.3">
      <c r="A13" s="277" t="s">
        <v>55</v>
      </c>
      <c r="B13" s="291">
        <f>($B$33-$B$28)*('ANNEXE 1 Grille'!C11/'ANNEXE 1 Grille'!C$38)</f>
        <v>166.25454447903292</v>
      </c>
    </row>
    <row r="14" spans="1:5" x14ac:dyDescent="0.3">
      <c r="A14" s="278" t="s">
        <v>56</v>
      </c>
      <c r="B14" s="292"/>
    </row>
    <row r="15" spans="1:5" x14ac:dyDescent="0.3">
      <c r="A15" s="277" t="s">
        <v>57</v>
      </c>
      <c r="B15" s="291">
        <f>($B$33-$B$28)*('ANNEXE 1 Grille'!C13/'ANNEXE 1 Grille'!C$38)</f>
        <v>5964.8886567965228</v>
      </c>
    </row>
    <row r="16" spans="1:5" x14ac:dyDescent="0.3">
      <c r="A16" s="278" t="s">
        <v>58</v>
      </c>
      <c r="B16" s="292"/>
    </row>
    <row r="17" spans="1:13" x14ac:dyDescent="0.3">
      <c r="A17" s="277" t="s">
        <v>59</v>
      </c>
      <c r="B17" s="291">
        <f>($B$33-$B$28)*('ANNEXE 1 Grille'!C15/'ANNEXE 1 Grille'!C$38)</f>
        <v>839.38270017462958</v>
      </c>
    </row>
    <row r="18" spans="1:13" x14ac:dyDescent="0.3">
      <c r="A18" s="278" t="s">
        <v>60</v>
      </c>
      <c r="B18" s="292"/>
    </row>
    <row r="19" spans="1:13" x14ac:dyDescent="0.3">
      <c r="A19" s="277" t="s">
        <v>61</v>
      </c>
      <c r="B19" s="291">
        <f>($B$33-$B$28)*('ANNEXE 1 Grille'!C17/'ANNEXE 1 Grille'!C$38)</f>
        <v>2595.1928894288067</v>
      </c>
    </row>
    <row r="20" spans="1:13" x14ac:dyDescent="0.3">
      <c r="A20" s="277" t="s">
        <v>62</v>
      </c>
      <c r="B20" s="291">
        <f>($B$33-$B$28)*('ANNEXE 1 Grille'!C18/'ANNEXE 1 Grille'!C$38)</f>
        <v>3787.3596230101643</v>
      </c>
    </row>
    <row r="21" spans="1:13" x14ac:dyDescent="0.3">
      <c r="A21" s="278" t="s">
        <v>63</v>
      </c>
      <c r="B21" s="292"/>
    </row>
    <row r="22" spans="1:13" x14ac:dyDescent="0.3">
      <c r="A22" s="277" t="s">
        <v>64</v>
      </c>
      <c r="B22" s="291">
        <f>($B$33-$B$28)*('ANNEXE 1 Grille'!C20/'ANNEXE 1 Grille'!C$38)</f>
        <v>1763.9201670336417</v>
      </c>
    </row>
    <row r="23" spans="1:13" x14ac:dyDescent="0.3">
      <c r="A23" s="277" t="s">
        <v>65</v>
      </c>
      <c r="B23" s="291">
        <f>($B$33-$B$28)*('ANNEXE 1 Grille'!C21/'ANNEXE 1 Grille'!C$38)</f>
        <v>673.12815569559666</v>
      </c>
    </row>
    <row r="24" spans="1:13" x14ac:dyDescent="0.3">
      <c r="A24" s="278" t="s">
        <v>66</v>
      </c>
      <c r="B24" s="292"/>
    </row>
    <row r="25" spans="1:13" x14ac:dyDescent="0.3">
      <c r="A25" s="277" t="s">
        <v>67</v>
      </c>
      <c r="B25" s="291">
        <f>($B$33-$B$28)*('ANNEXE 1 Grille'!C23/'ANNEXE 1 Grille'!C$38)</f>
        <v>1244.8815891478807</v>
      </c>
    </row>
    <row r="26" spans="1:13" x14ac:dyDescent="0.3">
      <c r="A26" s="277" t="s">
        <v>68</v>
      </c>
      <c r="B26" s="291">
        <f>($B$33-$B$28)*('ANNEXE 1 Grille'!C24/'ANNEXE 1 Grille'!C$38)</f>
        <v>2501.9281449649588</v>
      </c>
    </row>
    <row r="27" spans="1:13" x14ac:dyDescent="0.3">
      <c r="A27" s="277" t="s">
        <v>69</v>
      </c>
      <c r="B27" s="291">
        <f>($B$33-$B$28)*('ANNEXE 1 Grille'!C25/'ANNEXE 1 Grille'!C$38)</f>
        <v>3093.9565228659058</v>
      </c>
    </row>
    <row r="28" spans="1:13" x14ac:dyDescent="0.3">
      <c r="A28" s="281" t="s">
        <v>129</v>
      </c>
      <c r="B28" s="298">
        <f>B33*B39</f>
        <v>23337.812723373841</v>
      </c>
      <c r="E28" s="287"/>
    </row>
    <row r="29" spans="1:13" s="302" customFormat="1" ht="14.25" customHeight="1" x14ac:dyDescent="0.3">
      <c r="A29" s="279" t="s">
        <v>72</v>
      </c>
      <c r="B29" s="293">
        <f>SUM(B7:B28)</f>
        <v>58344.5318084346</v>
      </c>
    </row>
    <row r="30" spans="1:13" ht="28.8" x14ac:dyDescent="0.3">
      <c r="A30" s="272" t="s">
        <v>130</v>
      </c>
      <c r="B30" s="304">
        <f>B29-B28</f>
        <v>35006.719085060759</v>
      </c>
      <c r="E30" s="302"/>
      <c r="G30" s="302"/>
      <c r="H30" s="302"/>
      <c r="I30" s="302"/>
      <c r="J30" s="302"/>
      <c r="K30" s="302"/>
      <c r="M30" s="302"/>
    </row>
    <row r="31" spans="1:13" ht="15" customHeight="1" x14ac:dyDescent="0.3">
      <c r="A31" s="280"/>
      <c r="B31" s="305"/>
    </row>
    <row r="32" spans="1:13" ht="15" customHeight="1" x14ac:dyDescent="0.3">
      <c r="A32" s="281" t="s">
        <v>146</v>
      </c>
      <c r="B32" s="306" t="s">
        <v>39</v>
      </c>
      <c r="C32" s="297" t="s">
        <v>283</v>
      </c>
    </row>
    <row r="33" spans="1:3" ht="15" customHeight="1" x14ac:dyDescent="0.3">
      <c r="A33" s="282" t="s">
        <v>201</v>
      </c>
      <c r="B33" s="283">
        <f>B35*B37</f>
        <v>58344.5318084346</v>
      </c>
      <c r="C33" s="297" t="b">
        <f>B33=B29</f>
        <v>1</v>
      </c>
    </row>
    <row r="34" spans="1:3" ht="15" customHeight="1" x14ac:dyDescent="0.3">
      <c r="A34" s="282" t="s">
        <v>202</v>
      </c>
      <c r="B34" s="283">
        <f>B33</f>
        <v>58344.5318084346</v>
      </c>
      <c r="C34" s="297"/>
    </row>
    <row r="35" spans="1:3" ht="15" customHeight="1" x14ac:dyDescent="0.3">
      <c r="A35" s="282" t="s">
        <v>142</v>
      </c>
      <c r="B35" s="283">
        <v>57000</v>
      </c>
      <c r="C35" s="297"/>
    </row>
    <row r="36" spans="1:3" x14ac:dyDescent="0.3">
      <c r="A36" s="282" t="s">
        <v>143</v>
      </c>
      <c r="B36" s="283">
        <f>B35</f>
        <v>57000</v>
      </c>
      <c r="C36" s="297"/>
    </row>
    <row r="37" spans="1:3" x14ac:dyDescent="0.3">
      <c r="A37" s="282" t="s">
        <v>285</v>
      </c>
      <c r="B37" s="271">
        <f>'Indice Syntec'!C4</f>
        <v>1.0235882773409579</v>
      </c>
      <c r="C37" s="297" t="s">
        <v>268</v>
      </c>
    </row>
    <row r="38" spans="1:3" x14ac:dyDescent="0.3">
      <c r="A38" s="303" t="s">
        <v>212</v>
      </c>
    </row>
    <row r="39" spans="1:3" x14ac:dyDescent="0.3">
      <c r="A39" s="282" t="s">
        <v>269</v>
      </c>
      <c r="B39" s="274">
        <v>0.4</v>
      </c>
    </row>
    <row r="40" spans="1:3" x14ac:dyDescent="0.3">
      <c r="A40" s="282" t="s">
        <v>270</v>
      </c>
      <c r="B40" s="274">
        <f>1-B39</f>
        <v>0.6</v>
      </c>
    </row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B35"/>
  <sheetViews>
    <sheetView workbookViewId="0">
      <selection activeCell="A3" sqref="A3:A6"/>
    </sheetView>
  </sheetViews>
  <sheetFormatPr baseColWidth="10" defaultColWidth="9.109375" defaultRowHeight="14.4" x14ac:dyDescent="0.3"/>
  <cols>
    <col min="1" max="1" width="20.33203125" customWidth="1"/>
    <col min="2" max="2" width="31.6640625" customWidth="1"/>
  </cols>
  <sheetData>
    <row r="1" spans="1:2" x14ac:dyDescent="0.3">
      <c r="A1" s="110" t="s">
        <v>148</v>
      </c>
    </row>
    <row r="3" spans="1:2" x14ac:dyDescent="0.3">
      <c r="A3" s="461" t="s">
        <v>40</v>
      </c>
      <c r="B3" s="114" t="s">
        <v>185</v>
      </c>
    </row>
    <row r="4" spans="1:2" x14ac:dyDescent="0.3">
      <c r="A4" s="461"/>
      <c r="B4" s="114">
        <v>2023</v>
      </c>
    </row>
    <row r="5" spans="1:2" x14ac:dyDescent="0.3">
      <c r="A5" s="461"/>
      <c r="B5" s="114"/>
    </row>
    <row r="6" spans="1:2" ht="15" customHeight="1" x14ac:dyDescent="0.3">
      <c r="A6" s="461"/>
      <c r="B6" s="114" t="s">
        <v>39</v>
      </c>
    </row>
    <row r="7" spans="1:2" x14ac:dyDescent="0.3">
      <c r="A7" s="98" t="s">
        <v>15</v>
      </c>
      <c r="B7" s="109">
        <f>B$34*('ANNEXE 1 Grille'!C5/'ANNEXE 1 Grille'!C$37)</f>
        <v>973.49424768779602</v>
      </c>
    </row>
    <row r="8" spans="1:2" x14ac:dyDescent="0.3">
      <c r="A8" s="103" t="s">
        <v>50</v>
      </c>
      <c r="B8" s="107"/>
    </row>
    <row r="9" spans="1:2" x14ac:dyDescent="0.3">
      <c r="A9" s="98" t="s">
        <v>16</v>
      </c>
      <c r="B9" s="109">
        <f>B$34*('ANNEXE 1 Grille'!C7/'ANNEXE 1 Grille'!C$37)</f>
        <v>613.46717798330701</v>
      </c>
    </row>
    <row r="10" spans="1:2" x14ac:dyDescent="0.3">
      <c r="A10" s="98" t="s">
        <v>17</v>
      </c>
      <c r="B10" s="109">
        <f>B$34*('ANNEXE 1 Grille'!C8/'ANNEXE 1 Grille'!C$37)</f>
        <v>315.02368599142795</v>
      </c>
    </row>
    <row r="11" spans="1:2" x14ac:dyDescent="0.3">
      <c r="A11" s="98" t="s">
        <v>18</v>
      </c>
      <c r="B11" s="109">
        <f>B$34*('ANNEXE 1 Grille'!C9/'ANNEXE 1 Grille'!C$37)</f>
        <v>3346.8305887660731</v>
      </c>
    </row>
    <row r="12" spans="1:2" x14ac:dyDescent="0.3">
      <c r="A12" s="98" t="s">
        <v>19</v>
      </c>
      <c r="B12" s="109">
        <f>B$34*('ANNEXE 1 Grille'!C10/'ANNEXE 1 Grille'!C$37)</f>
        <v>1980.1488833746898</v>
      </c>
    </row>
    <row r="13" spans="1:2" x14ac:dyDescent="0.3">
      <c r="A13" s="98" t="s">
        <v>20</v>
      </c>
      <c r="B13" s="109">
        <f>B$34*('ANNEXE 1 Grille'!C11/'ANNEXE 1 Grille'!C$37)</f>
        <v>97.112564854500349</v>
      </c>
    </row>
    <row r="14" spans="1:2" x14ac:dyDescent="0.3">
      <c r="A14" s="98" t="s">
        <v>21</v>
      </c>
      <c r="B14" s="109">
        <f>B$34*('ANNEXE 1 Grille'!C12/'ANNEXE 1 Grille'!C$37)</f>
        <v>551.88360027069712</v>
      </c>
    </row>
    <row r="15" spans="1:2" x14ac:dyDescent="0.3">
      <c r="A15" s="98" t="s">
        <v>22</v>
      </c>
      <c r="B15" s="109">
        <f>B$34*('ANNEXE 1 Grille'!C13/'ANNEXE 1 Grille'!C$37)</f>
        <v>3484.2093390480491</v>
      </c>
    </row>
    <row r="16" spans="1:2" x14ac:dyDescent="0.3">
      <c r="A16" s="103" t="s">
        <v>24</v>
      </c>
      <c r="B16" s="107"/>
    </row>
    <row r="17" spans="1:2" x14ac:dyDescent="0.3">
      <c r="A17" s="98" t="s">
        <v>25</v>
      </c>
      <c r="B17" s="109">
        <f>B$34*('ANNEXE 1 Grille'!C15/'ANNEXE 1 Grille'!C$37)</f>
        <v>490.30002255808705</v>
      </c>
    </row>
    <row r="18" spans="1:2" x14ac:dyDescent="0.3">
      <c r="A18" s="103" t="s">
        <v>26</v>
      </c>
      <c r="B18" s="107"/>
    </row>
    <row r="19" spans="1:2" x14ac:dyDescent="0.3">
      <c r="A19" s="98" t="s">
        <v>27</v>
      </c>
      <c r="B19" s="109">
        <f>B$34*('ANNEXE 1 Grille'!C17/'ANNEXE 1 Grille'!C$37)</f>
        <v>1515.9034513873223</v>
      </c>
    </row>
    <row r="20" spans="1:2" x14ac:dyDescent="0.3">
      <c r="A20" s="98" t="s">
        <v>28</v>
      </c>
      <c r="B20" s="109">
        <f>B$34*('ANNEXE 1 Grille'!C18/'ANNEXE 1 Grille'!C$37)</f>
        <v>2212.2715993683737</v>
      </c>
    </row>
    <row r="21" spans="1:2" x14ac:dyDescent="0.3">
      <c r="A21" s="103" t="s">
        <v>29</v>
      </c>
      <c r="B21" s="107"/>
    </row>
    <row r="22" spans="1:2" x14ac:dyDescent="0.3">
      <c r="A22" s="98" t="s">
        <v>30</v>
      </c>
      <c r="B22" s="109">
        <f>B$34*('ANNEXE 1 Grille'!C20/'ANNEXE 1 Grille'!C$37)</f>
        <v>1030.3406271148208</v>
      </c>
    </row>
    <row r="23" spans="1:2" x14ac:dyDescent="0.3">
      <c r="A23" s="98" t="s">
        <v>31</v>
      </c>
      <c r="B23" s="109">
        <f>B$34*('ANNEXE 1 Grille'!C21/'ANNEXE 1 Grille'!C$37)</f>
        <v>393.1874577035868</v>
      </c>
    </row>
    <row r="24" spans="1:2" x14ac:dyDescent="0.3">
      <c r="A24" s="103" t="s">
        <v>32</v>
      </c>
      <c r="B24" s="107"/>
    </row>
    <row r="25" spans="1:2" x14ac:dyDescent="0.3">
      <c r="A25" s="98" t="s">
        <v>33</v>
      </c>
      <c r="B25" s="109">
        <f>B$34*('ANNEXE 1 Grille'!C23/'ANNEXE 1 Grille'!C$37)</f>
        <v>727.15993683735621</v>
      </c>
    </row>
    <row r="26" spans="1:2" x14ac:dyDescent="0.3">
      <c r="A26" s="98" t="s">
        <v>128</v>
      </c>
      <c r="B26" s="109">
        <f>B$34*('ANNEXE 1 Grille'!C24/'ANNEXE 1 Grille'!C$37)</f>
        <v>1461.4256711030903</v>
      </c>
    </row>
    <row r="27" spans="1:2" x14ac:dyDescent="0.3">
      <c r="A27" s="98" t="s">
        <v>35</v>
      </c>
      <c r="B27" s="109">
        <f>B$34*('ANNEXE 1 Grille'!C25/'ANNEXE 1 Grille'!C$37)</f>
        <v>1807.2411459508237</v>
      </c>
    </row>
    <row r="28" spans="1:2" x14ac:dyDescent="0.3">
      <c r="A28" s="102" t="s">
        <v>129</v>
      </c>
      <c r="B28" s="102"/>
    </row>
    <row r="29" spans="1:2" x14ac:dyDescent="0.3">
      <c r="A29" s="86" t="s">
        <v>72</v>
      </c>
      <c r="B29" s="86">
        <f>SUM(B7:B28)</f>
        <v>21000</v>
      </c>
    </row>
    <row r="30" spans="1:2" ht="21.6" x14ac:dyDescent="0.3">
      <c r="A30" s="87" t="s">
        <v>130</v>
      </c>
      <c r="B30" s="106">
        <f>B29-B28</f>
        <v>21000</v>
      </c>
    </row>
    <row r="31" spans="1:2" x14ac:dyDescent="0.3">
      <c r="A31" s="88"/>
      <c r="B31" s="88"/>
    </row>
    <row r="32" spans="1:2" x14ac:dyDescent="0.3">
      <c r="A32" s="88"/>
      <c r="B32" s="88"/>
    </row>
    <row r="33" spans="1:2" x14ac:dyDescent="0.3">
      <c r="A33" s="84"/>
      <c r="B33" s="114" t="s">
        <v>39</v>
      </c>
    </row>
    <row r="34" spans="1:2" x14ac:dyDescent="0.3">
      <c r="A34" s="84" t="s">
        <v>215</v>
      </c>
      <c r="B34" s="85">
        <v>21000</v>
      </c>
    </row>
    <row r="35" spans="1:2" x14ac:dyDescent="0.3">
      <c r="A35" s="84" t="s">
        <v>214</v>
      </c>
      <c r="B35" s="85">
        <f>B34*1.2</f>
        <v>25200</v>
      </c>
    </row>
  </sheetData>
  <mergeCells count="1">
    <mergeCell ref="A3:A6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50FBB-49B7-4C72-A698-D979493BC748}">
  <sheetPr>
    <tabColor rgb="FF92D050"/>
  </sheetPr>
  <dimension ref="A1:L41"/>
  <sheetViews>
    <sheetView zoomScale="90" zoomScaleNormal="90" workbookViewId="0">
      <selection activeCell="A3" sqref="A3:A6"/>
    </sheetView>
  </sheetViews>
  <sheetFormatPr baseColWidth="10" defaultColWidth="9.109375" defaultRowHeight="14.4" x14ac:dyDescent="0.3"/>
  <cols>
    <col min="1" max="1" width="25.109375" style="265" customWidth="1"/>
    <col min="2" max="2" width="24.109375" style="265" customWidth="1"/>
    <col min="3" max="3" width="14.44140625" style="265" customWidth="1"/>
    <col min="4" max="16384" width="9.109375" style="265"/>
  </cols>
  <sheetData>
    <row r="1" spans="1:4" x14ac:dyDescent="0.3">
      <c r="A1" s="264" t="s">
        <v>288</v>
      </c>
    </row>
    <row r="3" spans="1:4" ht="36" customHeight="1" x14ac:dyDescent="0.3">
      <c r="A3" s="460" t="s">
        <v>40</v>
      </c>
      <c r="B3" s="276" t="s">
        <v>261</v>
      </c>
      <c r="D3" s="301"/>
    </row>
    <row r="4" spans="1:4" ht="15" customHeight="1" x14ac:dyDescent="0.3">
      <c r="A4" s="460"/>
      <c r="B4" s="276">
        <v>2023</v>
      </c>
    </row>
    <row r="5" spans="1:4" ht="45" customHeight="1" x14ac:dyDescent="0.3">
      <c r="A5" s="460"/>
      <c r="B5" s="276"/>
    </row>
    <row r="6" spans="1:4" x14ac:dyDescent="0.3">
      <c r="A6" s="460"/>
      <c r="B6" s="276" t="s">
        <v>39</v>
      </c>
    </row>
    <row r="7" spans="1:4" x14ac:dyDescent="0.3">
      <c r="A7" s="277" t="s">
        <v>15</v>
      </c>
      <c r="B7" s="268">
        <f>($B$34-$B$28)*('ANNEXE 1 Grille'!C5/'ANNEXE 1 Grille'!C$39)</f>
        <v>357.06011815127999</v>
      </c>
    </row>
    <row r="8" spans="1:4" x14ac:dyDescent="0.3">
      <c r="A8" s="278" t="s">
        <v>50</v>
      </c>
      <c r="B8" s="269"/>
    </row>
    <row r="9" spans="1:4" x14ac:dyDescent="0.3">
      <c r="A9" s="277" t="s">
        <v>16</v>
      </c>
      <c r="B9" s="268">
        <f>($B$34-$B$28)*('ANNEXE 1 Grille'!C7/'ANNEXE 1 Grille'!C$39)</f>
        <v>225.0086875941156</v>
      </c>
    </row>
    <row r="10" spans="1:4" x14ac:dyDescent="0.3">
      <c r="A10" s="277" t="s">
        <v>17</v>
      </c>
      <c r="B10" s="268">
        <f>($B$34-$B$28)*('ANNEXE 1 Grille'!C8/'ANNEXE 1 Grille'!C$39)</f>
        <v>115.54500173751882</v>
      </c>
    </row>
    <row r="11" spans="1:4" x14ac:dyDescent="0.3">
      <c r="A11" s="277" t="s">
        <v>18</v>
      </c>
      <c r="B11" s="268">
        <f>($B$34-$B$28)*('ANNEXE 1 Grille'!C9/'ANNEXE 1 Grille'!C$39)</f>
        <v>1227.5570485346925</v>
      </c>
    </row>
    <row r="12" spans="1:4" x14ac:dyDescent="0.3">
      <c r="A12" s="277" t="s">
        <v>19</v>
      </c>
      <c r="B12" s="268">
        <f>($B$34-$B$28)*('ANNEXE 1 Grille'!C10/'ANNEXE 1 Grille'!C$39)</f>
        <v>726.28286806440394</v>
      </c>
    </row>
    <row r="13" spans="1:4" x14ac:dyDescent="0.3">
      <c r="A13" s="277" t="s">
        <v>20</v>
      </c>
      <c r="B13" s="268">
        <f>($B$34-$B$28)*('ANNEXE 1 Grille'!C11/'ANNEXE 1 Grille'!C$39)</f>
        <v>35.61913587397197</v>
      </c>
    </row>
    <row r="14" spans="1:4" x14ac:dyDescent="0.3">
      <c r="A14" s="278" t="s">
        <v>21</v>
      </c>
      <c r="B14" s="269"/>
    </row>
    <row r="15" spans="1:4" x14ac:dyDescent="0.3">
      <c r="A15" s="277" t="s">
        <v>22</v>
      </c>
      <c r="B15" s="268">
        <f>($B$34-$B$28)*('ANNEXE 1 Grille'!C13/'ANNEXE 1 Grille'!C$39)</f>
        <v>1277.9450944051896</v>
      </c>
    </row>
    <row r="16" spans="1:4" x14ac:dyDescent="0.3">
      <c r="A16" s="278" t="s">
        <v>24</v>
      </c>
      <c r="B16" s="269"/>
    </row>
    <row r="17" spans="1:12" x14ac:dyDescent="0.3">
      <c r="A17" s="277" t="s">
        <v>25</v>
      </c>
      <c r="B17" s="268">
        <f>($B$34-$B$28)*('ANNEXE 1 Grille'!C15/'ANNEXE 1 Grille'!C$39)</f>
        <v>179.83319819298043</v>
      </c>
    </row>
    <row r="18" spans="1:12" x14ac:dyDescent="0.3">
      <c r="A18" s="278" t="s">
        <v>26</v>
      </c>
      <c r="B18" s="269"/>
    </row>
    <row r="19" spans="1:12" x14ac:dyDescent="0.3">
      <c r="A19" s="277" t="s">
        <v>27</v>
      </c>
      <c r="B19" s="268">
        <f>($B$34-$B$28)*('ANNEXE 1 Grille'!C17/'ANNEXE 1 Grille'!C$39)</f>
        <v>556.00602339858688</v>
      </c>
    </row>
    <row r="20" spans="1:12" x14ac:dyDescent="0.3">
      <c r="A20" s="277" t="s">
        <v>28</v>
      </c>
      <c r="B20" s="268">
        <f>($B$34-$B$28)*('ANNEXE 1 Grille'!C18/'ANNEXE 1 Grille'!C$39)</f>
        <v>811.42129039731265</v>
      </c>
    </row>
    <row r="21" spans="1:12" x14ac:dyDescent="0.3">
      <c r="A21" s="278" t="s">
        <v>29</v>
      </c>
      <c r="B21" s="269"/>
    </row>
    <row r="22" spans="1:12" x14ac:dyDescent="0.3">
      <c r="A22" s="277" t="s">
        <v>30</v>
      </c>
      <c r="B22" s="268">
        <f>($B$34-$B$28)*('ANNEXE 1 Grille'!C20/'ANNEXE 1 Grille'!C$39)</f>
        <v>377.91034402872697</v>
      </c>
    </row>
    <row r="23" spans="1:12" x14ac:dyDescent="0.3">
      <c r="A23" s="277" t="s">
        <v>31</v>
      </c>
      <c r="B23" s="268">
        <f>($B$34-$B$28)*('ANNEXE 1 Grille'!C21/'ANNEXE 1 Grille'!C$39)</f>
        <v>144.21406231900846</v>
      </c>
    </row>
    <row r="24" spans="1:12" x14ac:dyDescent="0.3">
      <c r="A24" s="278" t="s">
        <v>32</v>
      </c>
      <c r="B24" s="269"/>
    </row>
    <row r="25" spans="1:12" x14ac:dyDescent="0.3">
      <c r="A25" s="277" t="s">
        <v>33</v>
      </c>
      <c r="B25" s="268">
        <f>($B$34-$B$28)*('ANNEXE 1 Grille'!C23/'ANNEXE 1 Grille'!C$39)</f>
        <v>266.7091393490096</v>
      </c>
    </row>
    <row r="26" spans="1:12" x14ac:dyDescent="0.3">
      <c r="A26" s="277" t="s">
        <v>128</v>
      </c>
      <c r="B26" s="268">
        <f>($B$34-$B$28)*('ANNEXE 1 Grille'!C24/'ANNEXE 1 Grille'!C$39)</f>
        <v>536.02455693270008</v>
      </c>
    </row>
    <row r="27" spans="1:12" x14ac:dyDescent="0.3">
      <c r="A27" s="277" t="s">
        <v>35</v>
      </c>
      <c r="B27" s="268">
        <f>($B$34-$B$28)*('ANNEXE 1 Grille'!C25/'ANNEXE 1 Grille'!C$39)</f>
        <v>662.86343102050284</v>
      </c>
    </row>
    <row r="28" spans="1:12" x14ac:dyDescent="0.3">
      <c r="A28" s="281" t="s">
        <v>129</v>
      </c>
      <c r="B28" s="286">
        <f>B34*B40</f>
        <v>7500</v>
      </c>
      <c r="D28" s="287"/>
    </row>
    <row r="29" spans="1:12" s="302" customFormat="1" ht="14.25" customHeight="1" x14ac:dyDescent="0.3">
      <c r="A29" s="279" t="s">
        <v>72</v>
      </c>
      <c r="B29" s="279">
        <f>SUM(B7:B28)</f>
        <v>15000</v>
      </c>
    </row>
    <row r="30" spans="1:12" ht="28.8" x14ac:dyDescent="0.3">
      <c r="A30" s="272" t="s">
        <v>130</v>
      </c>
      <c r="B30" s="270">
        <f>B29-B28</f>
        <v>7500</v>
      </c>
      <c r="D30" s="302"/>
      <c r="F30" s="302"/>
      <c r="G30" s="302"/>
      <c r="H30" s="302"/>
      <c r="I30" s="302"/>
      <c r="J30" s="302"/>
      <c r="L30" s="302"/>
    </row>
    <row r="31" spans="1:12" ht="15" customHeight="1" x14ac:dyDescent="0.3">
      <c r="A31" s="280"/>
      <c r="B31" s="280"/>
    </row>
    <row r="32" spans="1:12" ht="15" customHeight="1" x14ac:dyDescent="0.3">
      <c r="A32" s="280"/>
      <c r="B32" s="280"/>
    </row>
    <row r="33" spans="1:2" ht="15" customHeight="1" x14ac:dyDescent="0.3">
      <c r="A33" s="281" t="s">
        <v>213</v>
      </c>
      <c r="B33" s="276" t="s">
        <v>39</v>
      </c>
    </row>
    <row r="34" spans="1:2" ht="15" customHeight="1" x14ac:dyDescent="0.3">
      <c r="A34" s="282" t="s">
        <v>201</v>
      </c>
      <c r="B34" s="284">
        <f>B35/1.2</f>
        <v>15000</v>
      </c>
    </row>
    <row r="35" spans="1:2" ht="15" customHeight="1" x14ac:dyDescent="0.3">
      <c r="A35" s="282" t="s">
        <v>202</v>
      </c>
      <c r="B35" s="284">
        <v>18000</v>
      </c>
    </row>
    <row r="36" spans="1:2" ht="15" customHeight="1" x14ac:dyDescent="0.3">
      <c r="A36" s="282" t="s">
        <v>142</v>
      </c>
      <c r="B36" s="284">
        <v>0</v>
      </c>
    </row>
    <row r="37" spans="1:2" x14ac:dyDescent="0.3">
      <c r="A37" s="282" t="s">
        <v>143</v>
      </c>
      <c r="B37" s="284">
        <f>B36</f>
        <v>0</v>
      </c>
    </row>
    <row r="38" spans="1:2" x14ac:dyDescent="0.3">
      <c r="A38" s="282" t="s">
        <v>285</v>
      </c>
      <c r="B38" s="307" t="s">
        <v>289</v>
      </c>
    </row>
    <row r="40" spans="1:2" x14ac:dyDescent="0.3">
      <c r="A40" s="282" t="s">
        <v>269</v>
      </c>
      <c r="B40" s="274">
        <v>0.5</v>
      </c>
    </row>
    <row r="41" spans="1:2" x14ac:dyDescent="0.3">
      <c r="A41" s="282" t="s">
        <v>270</v>
      </c>
      <c r="B41" s="274">
        <v>0.5</v>
      </c>
    </row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31"/>
  <sheetViews>
    <sheetView topLeftCell="A4" workbookViewId="0">
      <selection activeCell="J25" sqref="J25"/>
    </sheetView>
  </sheetViews>
  <sheetFormatPr baseColWidth="10" defaultColWidth="11.44140625" defaultRowHeight="12" x14ac:dyDescent="0.25"/>
  <cols>
    <col min="1" max="1" width="17.77734375" style="330" customWidth="1"/>
    <col min="2" max="13" width="9.6640625" style="330" customWidth="1"/>
    <col min="14" max="14" width="2.88671875" style="330" customWidth="1"/>
    <col min="15" max="16384" width="11.44140625" style="330"/>
  </cols>
  <sheetData>
    <row r="1" spans="1:13" ht="12.6" thickBot="1" x14ac:dyDescent="0.3">
      <c r="A1" s="328" t="s">
        <v>256</v>
      </c>
      <c r="B1" s="329"/>
      <c r="C1" s="329"/>
    </row>
    <row r="2" spans="1:13" ht="31.5" customHeight="1" thickBot="1" x14ac:dyDescent="0.3">
      <c r="A2" s="329"/>
      <c r="B2" s="329" t="s">
        <v>235</v>
      </c>
      <c r="C2" s="329" t="s">
        <v>258</v>
      </c>
      <c r="D2" s="330" t="s">
        <v>236</v>
      </c>
      <c r="E2" s="331" t="s">
        <v>41</v>
      </c>
      <c r="F2" s="332"/>
      <c r="G2" s="332"/>
      <c r="H2" s="333"/>
      <c r="I2" s="334"/>
      <c r="J2" s="335" t="s">
        <v>181</v>
      </c>
      <c r="K2" s="336"/>
      <c r="L2" s="336"/>
      <c r="M2" s="337"/>
    </row>
    <row r="3" spans="1:13" ht="60.6" thickBot="1" x14ac:dyDescent="0.3">
      <c r="B3" s="338" t="s">
        <v>39</v>
      </c>
      <c r="C3" s="339" t="s">
        <v>183</v>
      </c>
      <c r="D3" s="340" t="s">
        <v>182</v>
      </c>
      <c r="E3" s="341" t="s">
        <v>44</v>
      </c>
      <c r="F3" s="390" t="s">
        <v>331</v>
      </c>
      <c r="G3" s="390" t="s">
        <v>332</v>
      </c>
      <c r="H3" s="342" t="s">
        <v>333</v>
      </c>
      <c r="I3" s="343" t="s">
        <v>43</v>
      </c>
      <c r="J3" s="344" t="s">
        <v>184</v>
      </c>
      <c r="K3" s="391" t="s">
        <v>267</v>
      </c>
      <c r="L3" s="345" t="s">
        <v>13</v>
      </c>
      <c r="M3" s="346" t="s">
        <v>14</v>
      </c>
    </row>
    <row r="4" spans="1:13" x14ac:dyDescent="0.25">
      <c r="A4" s="349" t="s">
        <v>15</v>
      </c>
      <c r="B4" s="350">
        <f t="shared" ref="B4:B23" si="0">C4+D4</f>
        <v>9298.0279548564158</v>
      </c>
      <c r="C4" s="351">
        <f>'COUT PAR IP DES OUTILS'!Y4</f>
        <v>911.58102333735064</v>
      </c>
      <c r="D4" s="352">
        <f t="shared" ref="D4:D23" si="1">E4+J4</f>
        <v>8386.4469315190654</v>
      </c>
      <c r="E4" s="353">
        <f t="shared" ref="E4:E23" si="2">SUM(F4:I4)</f>
        <v>5260.1543497328039</v>
      </c>
      <c r="F4" s="354">
        <f>'COUT PAR IP DES OUTILS'!J4</f>
        <v>1586.8725868725869</v>
      </c>
      <c r="G4" s="354">
        <f>'COUT PAR IP DES OUTILS'!K4</f>
        <v>680.08825151682299</v>
      </c>
      <c r="H4" s="355">
        <f>'COUT PAR IP DES OUTILS'!E4</f>
        <v>2048.6264953478067</v>
      </c>
      <c r="I4" s="356">
        <f>'COUT PAR IP DES OUTILS'!H4</f>
        <v>944.56701599558755</v>
      </c>
      <c r="J4" s="353">
        <f>SUM(K4:M4)</f>
        <v>3126.2925817862611</v>
      </c>
      <c r="K4" s="354">
        <v>1428.24047260512</v>
      </c>
      <c r="L4" s="355">
        <f>'COUT PAR IP DES OUTILS'!T4</f>
        <v>973.49424768779602</v>
      </c>
      <c r="M4" s="356">
        <f>'COUT PAR IP DES OUTILS'!U4</f>
        <v>724.55786149334529</v>
      </c>
    </row>
    <row r="5" spans="1:13" x14ac:dyDescent="0.25">
      <c r="A5" s="357" t="s">
        <v>16</v>
      </c>
      <c r="B5" s="350">
        <f t="shared" si="0"/>
        <v>5841.4802518474498</v>
      </c>
      <c r="C5" s="351">
        <f>'COUT PAR IP DES OUTILS'!Y6</f>
        <v>556.59033636463232</v>
      </c>
      <c r="D5" s="352">
        <f t="shared" si="1"/>
        <v>5284.8899154828177</v>
      </c>
      <c r="E5" s="353">
        <f t="shared" si="2"/>
        <v>3314.7931303669011</v>
      </c>
      <c r="F5" s="354">
        <f>'COUT PAR IP DES OUTILS'!J6</f>
        <v>1000</v>
      </c>
      <c r="G5" s="354">
        <f>'COUT PAR IP DES OUTILS'!K6</f>
        <v>428.57142857142856</v>
      </c>
      <c r="H5" s="355">
        <f>'COUT PAR IP DES OUTILS'!E6</f>
        <v>1290.983606557377</v>
      </c>
      <c r="I5" s="356">
        <f>'COUT PAR IP DES OUTILS'!H6</f>
        <v>595.2380952380953</v>
      </c>
      <c r="J5" s="353">
        <f t="shared" ref="J5:J23" si="3">SUM(K5:M5)</f>
        <v>1970.0967851159166</v>
      </c>
      <c r="K5" s="354">
        <v>900.0347503764624</v>
      </c>
      <c r="L5" s="355">
        <f>'COUT PAR IP DES OUTILS'!T6</f>
        <v>613.46717798330701</v>
      </c>
      <c r="M5" s="356">
        <f>'COUT PAR IP DES OUTILS'!U6</f>
        <v>456.59485675614712</v>
      </c>
    </row>
    <row r="6" spans="1:13" x14ac:dyDescent="0.25">
      <c r="A6" s="357" t="s">
        <v>17</v>
      </c>
      <c r="B6" s="350">
        <f t="shared" si="0"/>
        <v>2989.9662566771649</v>
      </c>
      <c r="C6" s="351">
        <f>'COUT PAR IP DES OUTILS'!Y7</f>
        <v>276.10386764544756</v>
      </c>
      <c r="D6" s="352">
        <f t="shared" si="1"/>
        <v>2713.8623890317172</v>
      </c>
      <c r="E6" s="353">
        <f t="shared" si="2"/>
        <v>1702.1910669451654</v>
      </c>
      <c r="F6" s="354">
        <f>'COUT PAR IP DES OUTILS'!J7</f>
        <v>513.51351351351354</v>
      </c>
      <c r="G6" s="354">
        <f>'COUT PAR IP DES OUTILS'!K7</f>
        <v>220.07722007722006</v>
      </c>
      <c r="H6" s="355">
        <f>'COUT PAR IP DES OUTILS'!E7</f>
        <v>662.93752769162597</v>
      </c>
      <c r="I6" s="356">
        <f>'COUT PAR IP DES OUTILS'!H7</f>
        <v>305.66280566280568</v>
      </c>
      <c r="J6" s="353">
        <f t="shared" si="3"/>
        <v>1011.6713220865518</v>
      </c>
      <c r="K6" s="354">
        <v>462.18000695007527</v>
      </c>
      <c r="L6" s="355">
        <f>'COUT PAR IP DES OUTILS'!T7</f>
        <v>315.02368599142795</v>
      </c>
      <c r="M6" s="356">
        <f>'COUT PAR IP DES OUTILS'!U7</f>
        <v>234.46762914504848</v>
      </c>
    </row>
    <row r="7" spans="1:13" x14ac:dyDescent="0.25">
      <c r="A7" s="357" t="s">
        <v>18</v>
      </c>
      <c r="B7" s="350">
        <f t="shared" si="0"/>
        <v>32022.770842596641</v>
      </c>
      <c r="C7" s="351">
        <f>'COUT PAR IP DES OUTILS'!Y8</f>
        <v>3190.5335816807274</v>
      </c>
      <c r="D7" s="352">
        <f t="shared" si="1"/>
        <v>28832.237260915914</v>
      </c>
      <c r="E7" s="353">
        <f t="shared" si="2"/>
        <v>18084.180282658035</v>
      </c>
      <c r="F7" s="354">
        <f>'COUT PAR IP DES OUTILS'!J8</f>
        <v>5455.598455598456</v>
      </c>
      <c r="G7" s="354">
        <f>'COUT PAR IP DES OUTILS'!K8</f>
        <v>2338.1136238279096</v>
      </c>
      <c r="H7" s="355">
        <f>'COUT PAR IP DES OUTILS'!E8</f>
        <v>7043.088170137351</v>
      </c>
      <c r="I7" s="356">
        <f>'COUT PAR IP DES OUTILS'!H8</f>
        <v>3247.3800330943191</v>
      </c>
      <c r="J7" s="353">
        <f t="shared" si="3"/>
        <v>10748.056978257879</v>
      </c>
      <c r="K7" s="354">
        <v>4910.22819413877</v>
      </c>
      <c r="L7" s="355">
        <f>'COUT PAR IP DES OUTILS'!T8</f>
        <v>3346.8305887660731</v>
      </c>
      <c r="M7" s="356">
        <f>'COUT PAR IP DES OUTILS'!U8</f>
        <v>2490.9981953530341</v>
      </c>
    </row>
    <row r="8" spans="1:13" x14ac:dyDescent="0.25">
      <c r="A8" s="357" t="s">
        <v>19</v>
      </c>
      <c r="B8" s="350">
        <f t="shared" si="0"/>
        <v>18769.969307493764</v>
      </c>
      <c r="C8" s="351">
        <f>'COUT PAR IP DES OUTILS'!Y9</f>
        <v>1711.405719294401</v>
      </c>
      <c r="D8" s="352">
        <f t="shared" si="1"/>
        <v>17058.563588199362</v>
      </c>
      <c r="E8" s="353">
        <f t="shared" si="2"/>
        <v>10699.486706512467</v>
      </c>
      <c r="F8" s="354">
        <f>'COUT PAR IP DES OUTILS'!J9</f>
        <v>3227.7992277992275</v>
      </c>
      <c r="G8" s="354">
        <f>'COUT PAR IP DES OUTILS'!K9</f>
        <v>1383.342526199669</v>
      </c>
      <c r="H8" s="355">
        <f>'COUT PAR IP DES OUTILS'!E9</f>
        <v>4167.0358883473637</v>
      </c>
      <c r="I8" s="356">
        <f>'COUT PAR IP DES OUTILS'!H9</f>
        <v>1921.309064166207</v>
      </c>
      <c r="J8" s="353">
        <f t="shared" si="3"/>
        <v>6359.0768816868958</v>
      </c>
      <c r="K8" s="354">
        <v>2905.1314722576158</v>
      </c>
      <c r="L8" s="355">
        <f>'COUT PAR IP DES OUTILS'!T9</f>
        <v>1980.1488833746898</v>
      </c>
      <c r="M8" s="356">
        <f>'COUT PAR IP DES OUTILS'!U9</f>
        <v>1473.7965260545907</v>
      </c>
    </row>
    <row r="9" spans="1:13" x14ac:dyDescent="0.25">
      <c r="A9" s="357" t="s">
        <v>20</v>
      </c>
      <c r="B9" s="350">
        <f t="shared" si="0"/>
        <v>924.25621658978594</v>
      </c>
      <c r="C9" s="351">
        <f>'COUT PAR IP DES OUTILS'!Y10</f>
        <v>87.652021474745254</v>
      </c>
      <c r="D9" s="352">
        <f t="shared" si="1"/>
        <v>836.60419511504062</v>
      </c>
      <c r="E9" s="353">
        <f t="shared" si="2"/>
        <v>524.73559206580285</v>
      </c>
      <c r="F9" s="354">
        <f>'COUT PAR IP DES OUTILS'!J10</f>
        <v>158.30115830115832</v>
      </c>
      <c r="G9" s="354">
        <f>'COUT PAR IP DES OUTILS'!K10</f>
        <v>67.84335355763929</v>
      </c>
      <c r="H9" s="355">
        <f>'COUT PAR IP DES OUTILS'!E10</f>
        <v>204.36420026583963</v>
      </c>
      <c r="I9" s="356">
        <f>'COUT PAR IP DES OUTILS'!H10</f>
        <v>94.226879941165691</v>
      </c>
      <c r="J9" s="353">
        <f t="shared" si="3"/>
        <v>311.86860304923778</v>
      </c>
      <c r="K9" s="354">
        <v>142.47654349588788</v>
      </c>
      <c r="L9" s="355">
        <f>'COUT PAR IP DES OUTILS'!T10</f>
        <v>97.112564854500349</v>
      </c>
      <c r="M9" s="356">
        <f>'COUT PAR IP DES OUTILS'!U10</f>
        <v>72.279494698849547</v>
      </c>
    </row>
    <row r="10" spans="1:13" x14ac:dyDescent="0.25">
      <c r="A10" s="357" t="s">
        <v>21</v>
      </c>
      <c r="B10" s="350">
        <f t="shared" si="0"/>
        <v>4439.9105756557883</v>
      </c>
      <c r="C10" s="351">
        <f>'COUT PAR IP DES OUTILS'!Y11</f>
        <v>495.23392133231062</v>
      </c>
      <c r="D10" s="352">
        <f t="shared" si="1"/>
        <v>3944.676654323478</v>
      </c>
      <c r="E10" s="353">
        <f t="shared" si="2"/>
        <v>2982.0339744227335</v>
      </c>
      <c r="F10" s="354">
        <f>'COUT PAR IP DES OUTILS'!J11</f>
        <v>899.61389961389966</v>
      </c>
      <c r="G10" s="354">
        <f>'COUT PAR IP DES OUTILS'!K11</f>
        <v>385.5488141202427</v>
      </c>
      <c r="H10" s="355">
        <f>'COUT PAR IP DES OUTILS'!E11</f>
        <v>1161.3867966326984</v>
      </c>
      <c r="I10" s="356">
        <f>'COUT PAR IP DES OUTILS'!H11</f>
        <v>535.48446405589277</v>
      </c>
      <c r="J10" s="353">
        <f t="shared" si="3"/>
        <v>962.6426799007445</v>
      </c>
      <c r="K10" s="354">
        <v>0</v>
      </c>
      <c r="L10" s="355">
        <f>'COUT PAR IP DES OUTILS'!T11</f>
        <v>551.88360027069712</v>
      </c>
      <c r="M10" s="356">
        <f>'COUT PAR IP DES OUTILS'!U11</f>
        <v>410.75907963004744</v>
      </c>
    </row>
    <row r="11" spans="1:13" x14ac:dyDescent="0.25">
      <c r="A11" s="357" t="s">
        <v>22</v>
      </c>
      <c r="B11" s="350">
        <f t="shared" si="0"/>
        <v>33182.155398073344</v>
      </c>
      <c r="C11" s="351">
        <f>'COUT PAR IP DES OUTILS'!Y12</f>
        <v>3166.4292757751723</v>
      </c>
      <c r="D11" s="352">
        <f t="shared" si="1"/>
        <v>30015.726122298169</v>
      </c>
      <c r="E11" s="353">
        <f t="shared" si="2"/>
        <v>18826.489168995027</v>
      </c>
      <c r="F11" s="354">
        <f>'COUT PAR IP DES OUTILS'!J12</f>
        <v>5679.5366795366799</v>
      </c>
      <c r="G11" s="354">
        <f>'COUT PAR IP DES OUTILS'!K12</f>
        <v>2434.0871483728629</v>
      </c>
      <c r="H11" s="355">
        <f>'COUT PAR IP DES OUTILS'!E12</f>
        <v>7332.1887461231727</v>
      </c>
      <c r="I11" s="356">
        <f>'COUT PAR IP DES OUTILS'!H12</f>
        <v>3380.67659496231</v>
      </c>
      <c r="J11" s="353">
        <f t="shared" si="3"/>
        <v>11189.236953303141</v>
      </c>
      <c r="K11" s="354">
        <v>5111.7803776207584</v>
      </c>
      <c r="L11" s="355">
        <f>'COUT PAR IP DES OUTILS'!T12</f>
        <v>3484.2093390480491</v>
      </c>
      <c r="M11" s="356">
        <f>'COUT PAR IP DES OUTILS'!U12</f>
        <v>2593.2472366343336</v>
      </c>
    </row>
    <row r="12" spans="1:13" x14ac:dyDescent="0.25">
      <c r="A12" s="357" t="s">
        <v>24</v>
      </c>
      <c r="B12" s="350">
        <f t="shared" si="0"/>
        <v>1269.7444159160293</v>
      </c>
      <c r="C12" s="351">
        <f>'COUT PAR IP DES OUTILS'!Y13</f>
        <v>181.87794456009641</v>
      </c>
      <c r="D12" s="352">
        <f t="shared" si="1"/>
        <v>1087.8664713559328</v>
      </c>
      <c r="E12" s="353">
        <f t="shared" si="2"/>
        <v>1087.8664713559328</v>
      </c>
      <c r="F12" s="354">
        <f>'COUT PAR IP DES OUTILS'!J13</f>
        <v>328.18532818532822</v>
      </c>
      <c r="G12" s="354">
        <f>'COUT PAR IP DES OUTILS'!K13</f>
        <v>140.65085493656923</v>
      </c>
      <c r="H12" s="355">
        <f>'COUT PAR IP DES OUTILS'!E13</f>
        <v>423.68187859991139</v>
      </c>
      <c r="I12" s="356">
        <f>'COUT PAR IP DES OUTILS'!H13</f>
        <v>195.34840963412395</v>
      </c>
      <c r="J12" s="353">
        <f t="shared" si="3"/>
        <v>0</v>
      </c>
      <c r="K12" s="354">
        <v>0</v>
      </c>
      <c r="L12" s="355">
        <f>'COUT PAR IP DES OUTILS'!T13</f>
        <v>0</v>
      </c>
      <c r="M12" s="356">
        <f>'COUT PAR IP DES OUTILS'!U13</f>
        <v>0</v>
      </c>
    </row>
    <row r="13" spans="1:13" x14ac:dyDescent="0.25">
      <c r="A13" s="357" t="s">
        <v>25</v>
      </c>
      <c r="B13" s="350">
        <f t="shared" si="0"/>
        <v>4657.7084426125111</v>
      </c>
      <c r="C13" s="351">
        <f>'COUT PAR IP DES OUTILS'!Y14</f>
        <v>433.87750629998908</v>
      </c>
      <c r="D13" s="352">
        <f t="shared" si="1"/>
        <v>4223.8309363125218</v>
      </c>
      <c r="E13" s="353">
        <f t="shared" si="2"/>
        <v>2649.2748184785651</v>
      </c>
      <c r="F13" s="354">
        <f>'COUT PAR IP DES OUTILS'!J14</f>
        <v>799.22779922779921</v>
      </c>
      <c r="G13" s="354">
        <f>'COUT PAR IP DES OUTILS'!K14</f>
        <v>342.52619966905684</v>
      </c>
      <c r="H13" s="355">
        <f>'COUT PAR IP DES OUTILS'!E14</f>
        <v>1031.7899867080193</v>
      </c>
      <c r="I13" s="356">
        <f>'COUT PAR IP DES OUTILS'!H14</f>
        <v>475.73083287369008</v>
      </c>
      <c r="J13" s="353">
        <f t="shared" si="3"/>
        <v>1574.5561178339565</v>
      </c>
      <c r="K13" s="354">
        <v>719.33279277192173</v>
      </c>
      <c r="L13" s="355">
        <f>'COUT PAR IP DES OUTILS'!T14</f>
        <v>490.30002255808705</v>
      </c>
      <c r="M13" s="356">
        <f>'COUT PAR IP DES OUTILS'!U14</f>
        <v>364.9233025039477</v>
      </c>
    </row>
    <row r="14" spans="1:13" x14ac:dyDescent="0.25">
      <c r="A14" s="357" t="s">
        <v>26</v>
      </c>
      <c r="B14" s="350">
        <f t="shared" si="0"/>
        <v>436.89345927455366</v>
      </c>
      <c r="C14" s="351">
        <f>'COUT PAR IP DES OUTILS'!Y15</f>
        <v>65.739016106058941</v>
      </c>
      <c r="D14" s="352">
        <f t="shared" si="1"/>
        <v>371.15444316849471</v>
      </c>
      <c r="E14" s="353">
        <f t="shared" si="2"/>
        <v>371.15444316849471</v>
      </c>
      <c r="F14" s="354">
        <f>'COUT PAR IP DES OUTILS'!J15</f>
        <v>111.96911196911196</v>
      </c>
      <c r="G14" s="354">
        <f>'COUT PAR IP DES OUTILS'!K15</f>
        <v>47.986762272476554</v>
      </c>
      <c r="H14" s="355">
        <f>'COUT PAR IP DES OUTILS'!E15</f>
        <v>144.55028799291094</v>
      </c>
      <c r="I14" s="356">
        <f>'COUT PAR IP DES OUTILS'!H15</f>
        <v>66.648280933995224</v>
      </c>
      <c r="J14" s="353">
        <f t="shared" si="3"/>
        <v>0</v>
      </c>
      <c r="K14" s="354">
        <v>0</v>
      </c>
      <c r="L14" s="355">
        <f>'COUT PAR IP DES OUTILS'!T15</f>
        <v>0</v>
      </c>
      <c r="M14" s="356">
        <f>'COUT PAR IP DES OUTILS'!U15</f>
        <v>0</v>
      </c>
    </row>
    <row r="15" spans="1:13" x14ac:dyDescent="0.25">
      <c r="A15" s="357" t="s">
        <v>27</v>
      </c>
      <c r="B15" s="350">
        <f t="shared" si="0"/>
        <v>14566.802205307717</v>
      </c>
      <c r="C15" s="351">
        <f>'COUT PAR IP DES OUTILS'!Y16</f>
        <v>1507.6147693656185</v>
      </c>
      <c r="D15" s="352">
        <f t="shared" si="1"/>
        <v>13059.187435942098</v>
      </c>
      <c r="E15" s="353">
        <f t="shared" si="2"/>
        <v>8190.9946078564353</v>
      </c>
      <c r="F15" s="354">
        <f>'COUT PAR IP DES OUTILS'!J16</f>
        <v>2471.0424710424713</v>
      </c>
      <c r="G15" s="354">
        <f>'COUT PAR IP DES OUTILS'!K16</f>
        <v>1059.0182018753449</v>
      </c>
      <c r="H15" s="355">
        <f>'COUT PAR IP DES OUTILS'!E16</f>
        <v>3190.0753212228619</v>
      </c>
      <c r="I15" s="356">
        <f>'COUT PAR IP DES OUTILS'!H16</f>
        <v>1470.858613715757</v>
      </c>
      <c r="J15" s="353">
        <f t="shared" si="3"/>
        <v>4868.1928280856628</v>
      </c>
      <c r="K15" s="354">
        <v>2224.0240935943475</v>
      </c>
      <c r="L15" s="355">
        <f>'COUT PAR IP DES OUTILS'!T16</f>
        <v>1515.9034513873223</v>
      </c>
      <c r="M15" s="356">
        <f>'COUT PAR IP DES OUTILS'!U16</f>
        <v>1128.2652831039927</v>
      </c>
    </row>
    <row r="16" spans="1:13" x14ac:dyDescent="0.25">
      <c r="A16" s="357" t="s">
        <v>28</v>
      </c>
      <c r="B16" s="350">
        <f t="shared" si="0"/>
        <v>21258.317403344103</v>
      </c>
      <c r="C16" s="351">
        <f>'COUT PAR IP DES OUTILS'!Y17</f>
        <v>2200.0657390161059</v>
      </c>
      <c r="D16" s="352">
        <f t="shared" si="1"/>
        <v>19058.251664327996</v>
      </c>
      <c r="E16" s="353">
        <f t="shared" si="2"/>
        <v>11953.732755840483</v>
      </c>
      <c r="F16" s="354">
        <f>'COUT PAR IP DES OUTILS'!J17</f>
        <v>3606.1776061776059</v>
      </c>
      <c r="G16" s="354">
        <f>'COUT PAR IP DES OUTILS'!K17</f>
        <v>1545.5046883618311</v>
      </c>
      <c r="H16" s="355">
        <f>'COUT PAR IP DES OUTILS'!E17</f>
        <v>4655.5161719096141</v>
      </c>
      <c r="I16" s="356">
        <f>'COUT PAR IP DES OUTILS'!H17</f>
        <v>2146.5342893914321</v>
      </c>
      <c r="J16" s="353">
        <f t="shared" si="3"/>
        <v>7104.5189084875137</v>
      </c>
      <c r="K16" s="354">
        <v>3245.6851615892506</v>
      </c>
      <c r="L16" s="355">
        <f>'COUT PAR IP DES OUTILS'!T17</f>
        <v>2212.2715993683737</v>
      </c>
      <c r="M16" s="356">
        <f>'COUT PAR IP DES OUTILS'!U17</f>
        <v>1646.5621475298894</v>
      </c>
    </row>
    <row r="17" spans="1:13" x14ac:dyDescent="0.25">
      <c r="A17" s="357" t="s">
        <v>29</v>
      </c>
      <c r="B17" s="350">
        <f t="shared" si="0"/>
        <v>372.38506665951144</v>
      </c>
      <c r="C17" s="351">
        <f>'COUT PAR IP DES OUTILS'!Y18</f>
        <v>83.269420401007991</v>
      </c>
      <c r="D17" s="352">
        <f t="shared" si="1"/>
        <v>289.11564625850343</v>
      </c>
      <c r="E17" s="353">
        <f t="shared" si="2"/>
        <v>289.11564625850343</v>
      </c>
      <c r="F17" s="354">
        <f>'COUT PAR IP DES OUTILS'!J18</f>
        <v>142.85714285714286</v>
      </c>
      <c r="G17" s="354">
        <f>'COUT PAR IP DES OUTILS'!K18</f>
        <v>61.224489795918373</v>
      </c>
      <c r="H17" s="355">
        <f>'COUT PAR IP DES OUTILS'!E18</f>
        <v>0</v>
      </c>
      <c r="I17" s="356">
        <f>'COUT PAR IP DES OUTILS'!H18</f>
        <v>85.034013605442198</v>
      </c>
      <c r="J17" s="353">
        <f t="shared" si="3"/>
        <v>0</v>
      </c>
      <c r="K17" s="354">
        <v>0</v>
      </c>
      <c r="L17" s="355">
        <f>'COUT PAR IP DES OUTILS'!T18</f>
        <v>0</v>
      </c>
      <c r="M17" s="356">
        <f>'COUT PAR IP DES OUTILS'!U18</f>
        <v>0</v>
      </c>
    </row>
    <row r="18" spans="1:13" x14ac:dyDescent="0.25">
      <c r="A18" s="357" t="s">
        <v>30</v>
      </c>
      <c r="B18" s="350">
        <f t="shared" si="0"/>
        <v>9768.0257788724248</v>
      </c>
      <c r="C18" s="351">
        <f>'COUT PAR IP DES OUTILS'!Y19</f>
        <v>891.859318505533</v>
      </c>
      <c r="D18" s="352">
        <f t="shared" si="1"/>
        <v>8876.1664603668924</v>
      </c>
      <c r="E18" s="353">
        <f t="shared" si="2"/>
        <v>5567.3166475274193</v>
      </c>
      <c r="F18" s="354">
        <f>'COUT PAR IP DES OUTILS'!J19</f>
        <v>1679.5366795366795</v>
      </c>
      <c r="G18" s="354">
        <f>'COUT PAR IP DES OUTILS'!K19</f>
        <v>719.80143408714832</v>
      </c>
      <c r="H18" s="355">
        <f>'COUT PAR IP DES OUTILS'!E19</f>
        <v>2168.2543198936637</v>
      </c>
      <c r="I18" s="356">
        <f>'COUT PAR IP DES OUTILS'!H19</f>
        <v>999.72421400992835</v>
      </c>
      <c r="J18" s="353">
        <f t="shared" si="3"/>
        <v>3308.8498128394735</v>
      </c>
      <c r="K18" s="354">
        <v>1511.6413761149079</v>
      </c>
      <c r="L18" s="355">
        <f>'COUT PAR IP DES OUTILS'!T19</f>
        <v>1030.3406271148208</v>
      </c>
      <c r="M18" s="356">
        <f>'COUT PAR IP DES OUTILS'!U19</f>
        <v>766.86780960974511</v>
      </c>
    </row>
    <row r="19" spans="1:13" x14ac:dyDescent="0.25">
      <c r="A19" s="357" t="s">
        <v>31</v>
      </c>
      <c r="B19" s="350">
        <f t="shared" si="0"/>
        <v>3755.3652313914117</v>
      </c>
      <c r="C19" s="351">
        <f>'COUT PAR IP DES OUTILS'!Y20</f>
        <v>368.13849019393007</v>
      </c>
      <c r="D19" s="352">
        <f t="shared" si="1"/>
        <v>3387.2267411974817</v>
      </c>
      <c r="E19" s="353">
        <f t="shared" si="2"/>
        <v>2124.5392264127627</v>
      </c>
      <c r="F19" s="354">
        <f>'COUT PAR IP DES OUTILS'!J20</f>
        <v>640.92664092664097</v>
      </c>
      <c r="G19" s="354">
        <f>'COUT PAR IP DES OUTILS'!K20</f>
        <v>274.68284611141758</v>
      </c>
      <c r="H19" s="355">
        <f>'COUT PAR IP DES OUTILS'!E20</f>
        <v>827.42578644217974</v>
      </c>
      <c r="I19" s="356">
        <f>'COUT PAR IP DES OUTILS'!H20</f>
        <v>381.50395293252444</v>
      </c>
      <c r="J19" s="353">
        <f t="shared" si="3"/>
        <v>1262.6875147847188</v>
      </c>
      <c r="K19" s="354">
        <v>576.85624927603385</v>
      </c>
      <c r="L19" s="355">
        <f>'COUT PAR IP DES OUTILS'!T20</f>
        <v>393.1874577035868</v>
      </c>
      <c r="M19" s="356">
        <f>'COUT PAR IP DES OUTILS'!U20</f>
        <v>292.64380780509816</v>
      </c>
    </row>
    <row r="20" spans="1:13" x14ac:dyDescent="0.25">
      <c r="A20" s="357" t="s">
        <v>32</v>
      </c>
      <c r="B20" s="350">
        <f t="shared" si="0"/>
        <v>721.69832189579552</v>
      </c>
      <c r="C20" s="351">
        <f>'COUT PAR IP DES OUTILS'!Y21</f>
        <v>107.37372630656294</v>
      </c>
      <c r="D20" s="352">
        <f t="shared" si="1"/>
        <v>614.32459558923256</v>
      </c>
      <c r="E20" s="353">
        <f t="shared" si="2"/>
        <v>614.32459558923256</v>
      </c>
      <c r="F20" s="354">
        <f>'COUT PAR IP DES OUTILS'!J21</f>
        <v>185.32818532818533</v>
      </c>
      <c r="G20" s="354">
        <f>'COUT PAR IP DES OUTILS'!K21</f>
        <v>79.426365140650844</v>
      </c>
      <c r="H20" s="355">
        <f>'COUT PAR IP DES OUTILS'!E21</f>
        <v>239.25564909171464</v>
      </c>
      <c r="I20" s="356">
        <f>'COUT PAR IP DES OUTILS'!H21</f>
        <v>110.31439602868176</v>
      </c>
      <c r="J20" s="353">
        <f t="shared" si="3"/>
        <v>0</v>
      </c>
      <c r="K20" s="354">
        <v>0</v>
      </c>
      <c r="L20" s="355">
        <f>'COUT PAR IP DES OUTILS'!T21</f>
        <v>0</v>
      </c>
      <c r="M20" s="356">
        <f>'COUT PAR IP DES OUTILS'!U21</f>
        <v>0</v>
      </c>
    </row>
    <row r="21" spans="1:13" x14ac:dyDescent="0.25">
      <c r="A21" s="357" t="s">
        <v>33</v>
      </c>
      <c r="B21" s="350">
        <f t="shared" si="0"/>
        <v>6930.4843363865393</v>
      </c>
      <c r="C21" s="351">
        <f>'COUT PAR IP DES OUTILS'!Y22</f>
        <v>666.15536320806393</v>
      </c>
      <c r="D21" s="352">
        <f t="shared" si="1"/>
        <v>6264.3289731784753</v>
      </c>
      <c r="E21" s="353">
        <f t="shared" si="2"/>
        <v>3929.1177259561337</v>
      </c>
      <c r="F21" s="354">
        <f>'COUT PAR IP DES OUTILS'!J22</f>
        <v>1185.3281853281853</v>
      </c>
      <c r="G21" s="354">
        <f>'COUT PAR IP DES OUTILS'!K22</f>
        <v>507.99779371207944</v>
      </c>
      <c r="H21" s="355">
        <f>'COUT PAR IP DES OUTILS'!E22</f>
        <v>1530.2392556490918</v>
      </c>
      <c r="I21" s="356">
        <f>'COUT PAR IP DES OUTILS'!H22</f>
        <v>705.55249126677711</v>
      </c>
      <c r="J21" s="353">
        <f t="shared" si="3"/>
        <v>2335.2112472223412</v>
      </c>
      <c r="K21" s="354">
        <v>1066.8365573960384</v>
      </c>
      <c r="L21" s="355">
        <f>'COUT PAR IP DES OUTILS'!T22</f>
        <v>727.15993683735621</v>
      </c>
      <c r="M21" s="356">
        <f>'COUT PAR IP DES OUTILS'!U22</f>
        <v>541.21475298894666</v>
      </c>
    </row>
    <row r="22" spans="1:13" x14ac:dyDescent="0.25">
      <c r="A22" s="357" t="s">
        <v>34</v>
      </c>
      <c r="B22" s="350">
        <f t="shared" si="0"/>
        <v>13966.009624616427</v>
      </c>
      <c r="C22" s="351">
        <f>'COUT PAR IP DES OUTILS'!Y23</f>
        <v>1376.1367371535005</v>
      </c>
      <c r="D22" s="352">
        <f t="shared" si="1"/>
        <v>12589.872887462927</v>
      </c>
      <c r="E22" s="353">
        <f t="shared" si="2"/>
        <v>7896.6307391365945</v>
      </c>
      <c r="F22" s="354">
        <f>'COUT PAR IP DES OUTILS'!J23</f>
        <v>2382.2393822393824</v>
      </c>
      <c r="G22" s="354">
        <f>'COUT PAR IP DES OUTILS'!K23</f>
        <v>1020.9597352454497</v>
      </c>
      <c r="H22" s="355">
        <f>'COUT PAR IP DES OUTILS'!E23</f>
        <v>3075.4319893664151</v>
      </c>
      <c r="I22" s="356">
        <f>'COUT PAR IP DES OUTILS'!H23</f>
        <v>1417.9996322853469</v>
      </c>
      <c r="J22" s="353">
        <f t="shared" si="3"/>
        <v>4693.2421483263333</v>
      </c>
      <c r="K22" s="354">
        <v>2144.0982277308003</v>
      </c>
      <c r="L22" s="355">
        <f>'COUT PAR IP DES OUTILS'!T23</f>
        <v>1461.4256711030903</v>
      </c>
      <c r="M22" s="356">
        <f>'COUT PAR IP DES OUTILS'!U23</f>
        <v>1087.7182494924432</v>
      </c>
    </row>
    <row r="23" spans="1:13" x14ac:dyDescent="0.25">
      <c r="A23" s="357" t="s">
        <v>35</v>
      </c>
      <c r="B23" s="350">
        <f t="shared" si="0"/>
        <v>17291.362243265961</v>
      </c>
      <c r="C23" s="351">
        <f>'COUT PAR IP DES OUTILS'!Y24</f>
        <v>1722.3622219787442</v>
      </c>
      <c r="D23" s="352">
        <f t="shared" si="1"/>
        <v>15569.000021287218</v>
      </c>
      <c r="E23" s="353">
        <f t="shared" si="2"/>
        <v>9765.201384053842</v>
      </c>
      <c r="F23" s="354">
        <f>'COUT PAR IP DES OUTILS'!J24</f>
        <v>2945.9459459459463</v>
      </c>
      <c r="G23" s="354">
        <f>'COUT PAR IP DES OUTILS'!K24</f>
        <v>1262.5482625482628</v>
      </c>
      <c r="H23" s="355">
        <f>'COUT PAR IP DES OUTILS'!E24</f>
        <v>3803.167922020381</v>
      </c>
      <c r="I23" s="356">
        <f>'COUT PAR IP DES OUTILS'!H24</f>
        <v>1753.5392535392539</v>
      </c>
      <c r="J23" s="353">
        <f t="shared" si="3"/>
        <v>5803.7986372333762</v>
      </c>
      <c r="K23" s="354">
        <v>2651.4537240820114</v>
      </c>
      <c r="L23" s="355">
        <f>'COUT PAR IP DES OUTILS'!T24</f>
        <v>1807.2411459508237</v>
      </c>
      <c r="M23" s="356">
        <f>'COUT PAR IP DES OUTILS'!U24</f>
        <v>1345.1037672005416</v>
      </c>
    </row>
    <row r="24" spans="1:13" ht="24.6" thickBot="1" x14ac:dyDescent="0.3">
      <c r="A24" s="358" t="s">
        <v>36</v>
      </c>
      <c r="B24" s="359">
        <f t="shared" ref="B24:M24" si="4">SUM(B4:B23)</f>
        <v>202463.33333333331</v>
      </c>
      <c r="C24" s="360">
        <f t="shared" si="4"/>
        <v>20000</v>
      </c>
      <c r="D24" s="361">
        <f t="shared" si="4"/>
        <v>182463.33333333331</v>
      </c>
      <c r="E24" s="362">
        <f t="shared" si="4"/>
        <v>115833.33333333333</v>
      </c>
      <c r="F24" s="363">
        <f t="shared" si="4"/>
        <v>35000</v>
      </c>
      <c r="G24" s="363">
        <f t="shared" si="4"/>
        <v>15000</v>
      </c>
      <c r="H24" s="360">
        <f t="shared" si="4"/>
        <v>44999.999999999993</v>
      </c>
      <c r="I24" s="364">
        <f t="shared" si="4"/>
        <v>20833.333333333343</v>
      </c>
      <c r="J24" s="362">
        <f t="shared" si="4"/>
        <v>66630</v>
      </c>
      <c r="K24" s="363">
        <f t="shared" si="4"/>
        <v>30000.000000000004</v>
      </c>
      <c r="L24" s="360">
        <f t="shared" si="4"/>
        <v>21000</v>
      </c>
      <c r="M24" s="364">
        <f t="shared" si="4"/>
        <v>15630.000000000002</v>
      </c>
    </row>
    <row r="25" spans="1:13" s="372" customFormat="1" ht="24.6" thickBot="1" x14ac:dyDescent="0.3">
      <c r="A25" s="365" t="s">
        <v>255</v>
      </c>
      <c r="B25" s="366">
        <f>C25+D25</f>
        <v>10900</v>
      </c>
      <c r="C25" s="367">
        <v>0</v>
      </c>
      <c r="D25" s="368">
        <f>E25+J25</f>
        <v>10900</v>
      </c>
      <c r="E25" s="369">
        <f>SUM(F25:I25)</f>
        <v>10900</v>
      </c>
      <c r="F25" s="370">
        <v>0</v>
      </c>
      <c r="G25" s="370">
        <v>0</v>
      </c>
      <c r="H25" s="367">
        <v>0</v>
      </c>
      <c r="I25" s="389">
        <f>13000-2100</f>
        <v>10900</v>
      </c>
      <c r="J25" s="369">
        <f>SUM(L25:M25)</f>
        <v>0</v>
      </c>
      <c r="K25" s="370">
        <v>0</v>
      </c>
      <c r="L25" s="367">
        <v>0</v>
      </c>
      <c r="M25" s="371">
        <v>0</v>
      </c>
    </row>
    <row r="26" spans="1:13" ht="12.6" thickBot="1" x14ac:dyDescent="0.3">
      <c r="A26" s="373"/>
      <c r="B26" s="329"/>
      <c r="C26" s="329"/>
      <c r="D26" s="329"/>
      <c r="E26" s="372"/>
      <c r="F26" s="372"/>
      <c r="G26" s="372"/>
      <c r="J26" s="372"/>
      <c r="K26" s="372"/>
    </row>
    <row r="27" spans="1:13" ht="12.6" thickBot="1" x14ac:dyDescent="0.3">
      <c r="A27" s="374" t="s">
        <v>37</v>
      </c>
      <c r="B27" s="375">
        <f>C27+D27</f>
        <v>0</v>
      </c>
      <c r="C27" s="376">
        <v>0</v>
      </c>
      <c r="D27" s="376">
        <f>E27+J27</f>
        <v>0</v>
      </c>
      <c r="E27" s="376">
        <f>SUM(F27:I27)</f>
        <v>0</v>
      </c>
      <c r="F27" s="376">
        <v>0</v>
      </c>
      <c r="G27" s="376">
        <v>0</v>
      </c>
      <c r="H27" s="376">
        <f>'COUT PAR IP DES OUTILS'!E5</f>
        <v>0</v>
      </c>
      <c r="I27" s="376">
        <f>'COUT PAR IP DES OUTILS'!H5</f>
        <v>0</v>
      </c>
      <c r="J27" s="376">
        <f>SUM(L27:M27)</f>
        <v>0</v>
      </c>
      <c r="K27" s="376">
        <v>0</v>
      </c>
      <c r="L27" s="376">
        <f>'COUT PAR IP DES OUTILS'!N5</f>
        <v>0</v>
      </c>
      <c r="M27" s="376">
        <f>'COUT PAR IP DES OUTILS'!P5</f>
        <v>0</v>
      </c>
    </row>
    <row r="28" spans="1:13" ht="12.6" thickBot="1" x14ac:dyDescent="0.3">
      <c r="A28" s="377" t="s">
        <v>38</v>
      </c>
      <c r="B28" s="378">
        <f>C28+D28</f>
        <v>0</v>
      </c>
      <c r="C28" s="379">
        <v>0</v>
      </c>
      <c r="D28" s="379">
        <f>E28+J28</f>
        <v>0</v>
      </c>
      <c r="E28" s="376">
        <f>SUM(F28:I28)</f>
        <v>0</v>
      </c>
      <c r="F28" s="379">
        <v>0</v>
      </c>
      <c r="G28" s="379">
        <v>0</v>
      </c>
      <c r="H28" s="379">
        <v>0</v>
      </c>
      <c r="I28" s="379">
        <v>0</v>
      </c>
      <c r="J28" s="379">
        <f>SUM(K28:M28)</f>
        <v>0</v>
      </c>
      <c r="K28" s="379">
        <v>0</v>
      </c>
      <c r="L28" s="379">
        <v>0</v>
      </c>
      <c r="M28" s="379">
        <v>0</v>
      </c>
    </row>
    <row r="29" spans="1:13" x14ac:dyDescent="0.25">
      <c r="A29" s="357" t="s">
        <v>23</v>
      </c>
      <c r="B29" s="380">
        <f>C29+D29</f>
        <v>0</v>
      </c>
      <c r="C29" s="381">
        <v>0</v>
      </c>
      <c r="D29" s="382">
        <f>E29+J29</f>
        <v>0</v>
      </c>
      <c r="E29" s="383">
        <f>SUM(F29:I29)</f>
        <v>0</v>
      </c>
      <c r="F29" s="383">
        <v>0</v>
      </c>
      <c r="G29" s="383">
        <v>0</v>
      </c>
      <c r="H29" s="384">
        <v>0</v>
      </c>
      <c r="I29" s="385">
        <v>0</v>
      </c>
      <c r="J29" s="386">
        <f>SUM(K29:M29)</f>
        <v>0</v>
      </c>
      <c r="K29" s="386">
        <v>0</v>
      </c>
      <c r="L29" s="384"/>
      <c r="M29" s="385"/>
    </row>
    <row r="30" spans="1:13" ht="12.6" thickBot="1" x14ac:dyDescent="0.3">
      <c r="B30" s="329"/>
      <c r="D30" s="329"/>
      <c r="E30" s="372"/>
      <c r="F30" s="372"/>
      <c r="G30" s="372"/>
      <c r="J30" s="372"/>
      <c r="K30" s="372"/>
    </row>
    <row r="31" spans="1:13" ht="12.6" thickBot="1" x14ac:dyDescent="0.3">
      <c r="A31" s="387" t="s">
        <v>39</v>
      </c>
      <c r="B31" s="347">
        <f>B24+B25+B27+B28</f>
        <v>213363.33333333331</v>
      </c>
      <c r="C31" s="347">
        <f t="shared" ref="C31:M31" si="5">C24+C25+C27+C28</f>
        <v>20000</v>
      </c>
      <c r="D31" s="347">
        <f t="shared" si="5"/>
        <v>193363.33333333331</v>
      </c>
      <c r="E31" s="347">
        <f t="shared" si="5"/>
        <v>126733.33333333333</v>
      </c>
      <c r="F31" s="347">
        <f t="shared" si="5"/>
        <v>35000</v>
      </c>
      <c r="G31" s="347">
        <f t="shared" si="5"/>
        <v>15000</v>
      </c>
      <c r="H31" s="348">
        <f t="shared" si="5"/>
        <v>44999.999999999993</v>
      </c>
      <c r="I31" s="348">
        <f t="shared" si="5"/>
        <v>31733.333333333343</v>
      </c>
      <c r="J31" s="347">
        <f t="shared" si="5"/>
        <v>66630</v>
      </c>
      <c r="K31" s="347">
        <f t="shared" si="5"/>
        <v>30000.000000000004</v>
      </c>
      <c r="L31" s="347">
        <f t="shared" si="5"/>
        <v>21000</v>
      </c>
      <c r="M31" s="347">
        <f t="shared" si="5"/>
        <v>15630.000000000002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horizontalDpi="1200" verticalDpi="1200" r:id="rId1"/>
  <headerFooter>
    <oddHeader>&amp;A</oddHeader>
    <oddFooter>Page &amp;P de &amp;N</oddFooter>
  </headerFooter>
  <ignoredErrors>
    <ignoredError sqref="B24 D24:E24" formula="1"/>
    <ignoredError sqref="J2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G37"/>
  <sheetViews>
    <sheetView workbookViewId="0">
      <selection activeCell="A3" sqref="A3:A6"/>
    </sheetView>
  </sheetViews>
  <sheetFormatPr baseColWidth="10" defaultColWidth="9.109375" defaultRowHeight="14.4" x14ac:dyDescent="0.3"/>
  <cols>
    <col min="1" max="1" width="23.88671875" style="65" customWidth="1"/>
    <col min="2" max="2" width="19.44140625" style="65" customWidth="1"/>
    <col min="3" max="3" width="19.33203125" style="65" customWidth="1"/>
    <col min="4" max="4" width="23" style="65" customWidth="1"/>
    <col min="5" max="5" width="22.5546875" style="65" customWidth="1"/>
    <col min="6" max="6" width="11.5546875" style="65" customWidth="1"/>
    <col min="7" max="7" width="19.6640625" style="65" customWidth="1"/>
    <col min="8" max="16384" width="9.109375" style="65"/>
  </cols>
  <sheetData>
    <row r="1" spans="1:7" x14ac:dyDescent="0.3">
      <c r="A1" s="110" t="s">
        <v>149</v>
      </c>
    </row>
    <row r="3" spans="1:7" ht="21.75" customHeight="1" x14ac:dyDescent="0.3">
      <c r="A3" s="461" t="s">
        <v>40</v>
      </c>
      <c r="B3" s="114" t="s">
        <v>14</v>
      </c>
      <c r="C3" s="114" t="s">
        <v>14</v>
      </c>
      <c r="D3" s="114" t="s">
        <v>14</v>
      </c>
      <c r="E3" s="114" t="s">
        <v>14</v>
      </c>
      <c r="F3" s="114" t="s">
        <v>14</v>
      </c>
      <c r="G3" s="114" t="s">
        <v>14</v>
      </c>
    </row>
    <row r="4" spans="1:7" x14ac:dyDescent="0.3">
      <c r="A4" s="461"/>
      <c r="B4" s="114">
        <v>2023</v>
      </c>
      <c r="C4" s="114">
        <v>2023</v>
      </c>
      <c r="D4" s="114">
        <v>2023</v>
      </c>
      <c r="E4" s="114">
        <v>2023</v>
      </c>
      <c r="F4" s="114">
        <v>2023</v>
      </c>
      <c r="G4" s="114">
        <v>2023</v>
      </c>
    </row>
    <row r="5" spans="1:7" x14ac:dyDescent="0.3">
      <c r="A5" s="461"/>
      <c r="B5" s="114"/>
      <c r="C5" s="114"/>
      <c r="D5" s="114"/>
      <c r="E5" s="114"/>
      <c r="F5" s="114"/>
      <c r="G5" s="114"/>
    </row>
    <row r="6" spans="1:7" x14ac:dyDescent="0.3">
      <c r="A6" s="461"/>
      <c r="B6" s="114" t="s">
        <v>39</v>
      </c>
      <c r="C6" s="114" t="s">
        <v>74</v>
      </c>
      <c r="D6" s="114" t="s">
        <v>150</v>
      </c>
      <c r="E6" s="114" t="s">
        <v>73</v>
      </c>
      <c r="F6" s="114" t="s">
        <v>75</v>
      </c>
      <c r="G6" s="114" t="s">
        <v>76</v>
      </c>
    </row>
    <row r="7" spans="1:7" x14ac:dyDescent="0.3">
      <c r="A7" s="98" t="s">
        <v>15</v>
      </c>
      <c r="B7" s="109">
        <f>SUM(C7:G7)</f>
        <v>724.55786149334529</v>
      </c>
      <c r="C7" s="109">
        <f>C$34*('ANNEXE 1 Grille'!$C5/'ANNEXE 1 Grille'!C$32)</f>
        <v>449.1980600045116</v>
      </c>
      <c r="D7" s="109">
        <f>D$34*('ANNEXE 1 Grille'!$C5/'ANNEXE 1 Grille'!C$33)</f>
        <v>61.469208211143695</v>
      </c>
      <c r="E7" s="109">
        <f>E$34*('ANNEXE 1 Grille'!$C5/'ANNEXE 1 Grille'!C$34)</f>
        <v>9.456801263252876</v>
      </c>
      <c r="F7" s="109">
        <f>F$34*('ANNEXE 1 Grille'!$C5/'ANNEXE 1 Grille'!C$35)</f>
        <v>23.642003158132191</v>
      </c>
      <c r="G7" s="109">
        <f>G$34*('ANNEXE 1 Grille'!$C5/'ANNEXE 1 Grille'!C$36)</f>
        <v>180.79178885630498</v>
      </c>
    </row>
    <row r="8" spans="1:7" x14ac:dyDescent="0.3">
      <c r="A8" s="103" t="s">
        <v>50</v>
      </c>
      <c r="B8" s="107"/>
      <c r="C8" s="107"/>
      <c r="D8" s="107"/>
      <c r="E8" s="107"/>
      <c r="F8" s="107"/>
      <c r="G8" s="107"/>
    </row>
    <row r="9" spans="1:7" x14ac:dyDescent="0.3">
      <c r="A9" s="98" t="s">
        <v>16</v>
      </c>
      <c r="B9" s="109">
        <f t="shared" ref="B9:B27" si="0">SUM(C9:G9)</f>
        <v>456.59485675614712</v>
      </c>
      <c r="C9" s="109">
        <f>C$34*('ANNEXE 1 Grille'!$C7/'ANNEXE 1 Grille'!C$32)</f>
        <v>283.07128355515454</v>
      </c>
      <c r="D9" s="109">
        <f>D$34*('ANNEXE 1 Grille'!$C7/'ANNEXE 1 Grille'!C$33)</f>
        <v>38.73607038123167</v>
      </c>
      <c r="E9" s="109">
        <f>E$34*('ANNEXE 1 Grille'!$C7/'ANNEXE 1 Grille'!C$34)</f>
        <v>5.9593954432664109</v>
      </c>
      <c r="F9" s="109">
        <f>F$34*('ANNEXE 1 Grille'!$C7/'ANNEXE 1 Grille'!C$35)</f>
        <v>14.898488608166028</v>
      </c>
      <c r="G9" s="109">
        <f>G$34*('ANNEXE 1 Grille'!$C7/'ANNEXE 1 Grille'!C$36)</f>
        <v>113.92961876832845</v>
      </c>
    </row>
    <row r="10" spans="1:7" x14ac:dyDescent="0.3">
      <c r="A10" s="98" t="s">
        <v>17</v>
      </c>
      <c r="B10" s="109">
        <f t="shared" si="0"/>
        <v>234.46762914504848</v>
      </c>
      <c r="C10" s="109">
        <f>C$34*('ANNEXE 1 Grille'!$C8/'ANNEXE 1 Grille'!C$32)</f>
        <v>145.36092939318746</v>
      </c>
      <c r="D10" s="109">
        <f>D$34*('ANNEXE 1 Grille'!$C8/'ANNEXE 1 Grille'!C$33)</f>
        <v>19.89149560117302</v>
      </c>
      <c r="E10" s="109">
        <f>E$34*('ANNEXE 1 Grille'!$C8/'ANNEXE 1 Grille'!C$34)</f>
        <v>3.0602300924881569</v>
      </c>
      <c r="F10" s="109">
        <f>F$34*('ANNEXE 1 Grille'!$C8/'ANNEXE 1 Grille'!C$35)</f>
        <v>7.650575231220393</v>
      </c>
      <c r="G10" s="109">
        <f>G$34*('ANNEXE 1 Grille'!$C8/'ANNEXE 1 Grille'!C$36)</f>
        <v>58.504398826979475</v>
      </c>
    </row>
    <row r="11" spans="1:7" x14ac:dyDescent="0.3">
      <c r="A11" s="98" t="s">
        <v>18</v>
      </c>
      <c r="B11" s="109">
        <f t="shared" si="0"/>
        <v>2490.9981953530341</v>
      </c>
      <c r="C11" s="109">
        <f>C$34*('ANNEXE 1 Grille'!$C9/'ANNEXE 1 Grille'!C$32)</f>
        <v>1544.3232573877738</v>
      </c>
      <c r="D11" s="109">
        <f>D$34*('ANNEXE 1 Grille'!$C9/'ANNEXE 1 Grille'!C$33)</f>
        <v>211.32844574780063</v>
      </c>
      <c r="E11" s="109">
        <f>E$34*('ANNEXE 1 Grille'!$C9/'ANNEXE 1 Grille'!C$34)</f>
        <v>32.51206857658471</v>
      </c>
      <c r="F11" s="109">
        <f>F$34*('ANNEXE 1 Grille'!$C9/'ANNEXE 1 Grille'!C$35)</f>
        <v>81.280171441461775</v>
      </c>
      <c r="G11" s="109">
        <f>G$34*('ANNEXE 1 Grille'!$C9/'ANNEXE 1 Grille'!C$36)</f>
        <v>621.55425219941355</v>
      </c>
    </row>
    <row r="12" spans="1:7" x14ac:dyDescent="0.3">
      <c r="A12" s="98" t="s">
        <v>19</v>
      </c>
      <c r="B12" s="109">
        <f t="shared" si="0"/>
        <v>1473.7965260545907</v>
      </c>
      <c r="C12" s="109">
        <f>C$34*('ANNEXE 1 Grille'!$C10/'ANNEXE 1 Grille'!C$32)</f>
        <v>913.69727047146398</v>
      </c>
      <c r="D12" s="109">
        <f>D$34*('ANNEXE 1 Grille'!$C10/'ANNEXE 1 Grille'!C$33)</f>
        <v>125.03225806451613</v>
      </c>
      <c r="E12" s="109">
        <f>E$34*('ANNEXE 1 Grille'!$C10/'ANNEXE 1 Grille'!C$34)</f>
        <v>19.23573200992556</v>
      </c>
      <c r="F12" s="109">
        <f>F$34*('ANNEXE 1 Grille'!$C10/'ANNEXE 1 Grille'!C$35)</f>
        <v>48.089330024813897</v>
      </c>
      <c r="G12" s="109">
        <f>G$34*('ANNEXE 1 Grille'!$C10/'ANNEXE 1 Grille'!C$36)</f>
        <v>367.74193548387098</v>
      </c>
    </row>
    <row r="13" spans="1:7" x14ac:dyDescent="0.3">
      <c r="A13" s="98" t="s">
        <v>20</v>
      </c>
      <c r="B13" s="109">
        <f t="shared" si="0"/>
        <v>72.279494698849547</v>
      </c>
      <c r="C13" s="109">
        <f>C$34*('ANNEXE 1 Grille'!$C11/'ANNEXE 1 Grille'!C$32)</f>
        <v>44.810512068576585</v>
      </c>
      <c r="D13" s="109">
        <f>D$34*('ANNEXE 1 Grille'!$C11/'ANNEXE 1 Grille'!C$33)</f>
        <v>6.131964809384165</v>
      </c>
      <c r="E13" s="109">
        <f>E$34*('ANNEXE 1 Grille'!$C11/'ANNEXE 1 Grille'!C$34)</f>
        <v>0.94337920144371767</v>
      </c>
      <c r="F13" s="109">
        <f>F$34*('ANNEXE 1 Grille'!$C11/'ANNEXE 1 Grille'!C$35)</f>
        <v>2.3584480036092943</v>
      </c>
      <c r="G13" s="109">
        <f>G$34*('ANNEXE 1 Grille'!$C11/'ANNEXE 1 Grille'!C$36)</f>
        <v>18.035190615835777</v>
      </c>
    </row>
    <row r="14" spans="1:7" x14ac:dyDescent="0.3">
      <c r="A14" s="98" t="s">
        <v>21</v>
      </c>
      <c r="B14" s="109">
        <f t="shared" si="0"/>
        <v>410.75907963004744</v>
      </c>
      <c r="C14" s="109">
        <f>C$34*('ANNEXE 1 Grille'!$C12/'ANNEXE 1 Grille'!C$32)</f>
        <v>254.65486126776455</v>
      </c>
      <c r="D14" s="109">
        <f>D$34*('ANNEXE 1 Grille'!$C12/'ANNEXE 1 Grille'!C$33)</f>
        <v>34.847507331378303</v>
      </c>
      <c r="E14" s="109">
        <f>E$34*('ANNEXE 1 Grille'!$C12/'ANNEXE 1 Grille'!C$34)</f>
        <v>5.3611549740582003</v>
      </c>
      <c r="F14" s="109">
        <f>F$34*('ANNEXE 1 Grille'!$C12/'ANNEXE 1 Grille'!C$35)</f>
        <v>13.402887435145502</v>
      </c>
      <c r="G14" s="109">
        <f>G$34*('ANNEXE 1 Grille'!$C12/'ANNEXE 1 Grille'!C$36)</f>
        <v>102.4926686217009</v>
      </c>
    </row>
    <row r="15" spans="1:7" x14ac:dyDescent="0.3">
      <c r="A15" s="98" t="s">
        <v>22</v>
      </c>
      <c r="B15" s="109">
        <f t="shared" si="0"/>
        <v>2593.2472366343336</v>
      </c>
      <c r="C15" s="109">
        <f>C$34*('ANNEXE 1 Grille'!$C13/'ANNEXE 1 Grille'!C$32)</f>
        <v>1607.7137378750283</v>
      </c>
      <c r="D15" s="109">
        <f>D$34*('ANNEXE 1 Grille'!$C13/'ANNEXE 1 Grille'!C$33)</f>
        <v>220.00293255131965</v>
      </c>
      <c r="E15" s="109">
        <f>E$34*('ANNEXE 1 Grille'!$C13/'ANNEXE 1 Grille'!C$34)</f>
        <v>33.846605007895334</v>
      </c>
      <c r="F15" s="109">
        <f>F$34*('ANNEXE 1 Grille'!$C13/'ANNEXE 1 Grille'!C$35)</f>
        <v>84.616512519738336</v>
      </c>
      <c r="G15" s="109">
        <f>G$34*('ANNEXE 1 Grille'!$C13/'ANNEXE 1 Grille'!C$36)</f>
        <v>647.06744868035196</v>
      </c>
    </row>
    <row r="16" spans="1:7" x14ac:dyDescent="0.3">
      <c r="A16" s="103" t="s">
        <v>24</v>
      </c>
      <c r="B16" s="107">
        <f t="shared" si="0"/>
        <v>0</v>
      </c>
      <c r="C16" s="107"/>
      <c r="D16" s="107"/>
      <c r="E16" s="107"/>
      <c r="F16" s="107"/>
      <c r="G16" s="107"/>
    </row>
    <row r="17" spans="1:7" x14ac:dyDescent="0.3">
      <c r="A17" s="98" t="s">
        <v>25</v>
      </c>
      <c r="B17" s="109">
        <f t="shared" si="0"/>
        <v>364.9233025039477</v>
      </c>
      <c r="C17" s="109">
        <f>C$34*('ANNEXE 1 Grille'!$C15/'ANNEXE 1 Grille'!C$32)</f>
        <v>226.23843898037447</v>
      </c>
      <c r="D17" s="109">
        <f>D$34*('ANNEXE 1 Grille'!$C15/'ANNEXE 1 Grille'!C$33)</f>
        <v>30.958944281524925</v>
      </c>
      <c r="E17" s="109">
        <f>E$34*('ANNEXE 1 Grille'!$C15/'ANNEXE 1 Grille'!C$34)</f>
        <v>4.7629145048499888</v>
      </c>
      <c r="F17" s="109">
        <f>F$34*('ANNEXE 1 Grille'!$C15/'ANNEXE 1 Grille'!C$35)</f>
        <v>11.907286262124972</v>
      </c>
      <c r="G17" s="109">
        <f>G$34*('ANNEXE 1 Grille'!$C15/'ANNEXE 1 Grille'!C$36)</f>
        <v>91.055718475073306</v>
      </c>
    </row>
    <row r="18" spans="1:7" x14ac:dyDescent="0.3">
      <c r="A18" s="103" t="s">
        <v>26</v>
      </c>
      <c r="B18" s="107">
        <f t="shared" si="0"/>
        <v>0</v>
      </c>
      <c r="C18" s="107"/>
      <c r="D18" s="107"/>
      <c r="E18" s="107"/>
      <c r="F18" s="107"/>
      <c r="G18" s="107"/>
    </row>
    <row r="19" spans="1:7" x14ac:dyDescent="0.3">
      <c r="A19" s="98" t="s">
        <v>27</v>
      </c>
      <c r="B19" s="109">
        <f t="shared" si="0"/>
        <v>1128.2652831039927</v>
      </c>
      <c r="C19" s="109">
        <f>C$34*('ANNEXE 1 Grille'!$C17/'ANNEXE 1 Grille'!C$32)</f>
        <v>699.48116399729304</v>
      </c>
      <c r="D19" s="109">
        <f>D$34*('ANNEXE 1 Grille'!$C17/'ANNEXE 1 Grille'!C$33)</f>
        <v>95.718475073313783</v>
      </c>
      <c r="E19" s="109">
        <f>E$34*('ANNEXE 1 Grille'!$C17/'ANNEXE 1 Grille'!C$34)</f>
        <v>14.725919242048274</v>
      </c>
      <c r="F19" s="109">
        <f>F$34*('ANNEXE 1 Grille'!$C17/'ANNEXE 1 Grille'!C$35)</f>
        <v>36.814798105120687</v>
      </c>
      <c r="G19" s="109">
        <f>G$34*('ANNEXE 1 Grille'!$C17/'ANNEXE 1 Grille'!C$36)</f>
        <v>281.52492668621699</v>
      </c>
    </row>
    <row r="20" spans="1:7" x14ac:dyDescent="0.3">
      <c r="A20" s="98" t="s">
        <v>28</v>
      </c>
      <c r="B20" s="109">
        <f t="shared" si="0"/>
        <v>1646.5621475298894</v>
      </c>
      <c r="C20" s="109">
        <f>C$34*('ANNEXE 1 Grille'!$C18/'ANNEXE 1 Grille'!C$32)</f>
        <v>1020.8053237085495</v>
      </c>
      <c r="D20" s="109">
        <f>D$34*('ANNEXE 1 Grille'!$C18/'ANNEXE 1 Grille'!C$33)</f>
        <v>139.6891495601173</v>
      </c>
      <c r="E20" s="109">
        <f>E$34*('ANNEXE 1 Grille'!$C18/'ANNEXE 1 Grille'!C$34)</f>
        <v>21.490638393864202</v>
      </c>
      <c r="F20" s="109">
        <f>F$34*('ANNEXE 1 Grille'!$C18/'ANNEXE 1 Grille'!C$35)</f>
        <v>53.726595984660499</v>
      </c>
      <c r="G20" s="109">
        <f>G$34*('ANNEXE 1 Grille'!$C18/'ANNEXE 1 Grille'!C$36)</f>
        <v>410.85043988269797</v>
      </c>
    </row>
    <row r="21" spans="1:7" x14ac:dyDescent="0.3">
      <c r="A21" s="103" t="s">
        <v>29</v>
      </c>
      <c r="B21" s="107">
        <f t="shared" si="0"/>
        <v>0</v>
      </c>
      <c r="C21" s="107"/>
      <c r="D21" s="107"/>
      <c r="E21" s="107"/>
      <c r="F21" s="107"/>
      <c r="G21" s="107"/>
    </row>
    <row r="22" spans="1:7" x14ac:dyDescent="0.3">
      <c r="A22" s="98" t="s">
        <v>30</v>
      </c>
      <c r="B22" s="109">
        <f t="shared" si="0"/>
        <v>766.86780960974511</v>
      </c>
      <c r="C22" s="109">
        <f>C$34*('ANNEXE 1 Grille'!$C20/'ANNEXE 1 Grille'!C$32)</f>
        <v>475.4286036544101</v>
      </c>
      <c r="D22" s="109">
        <f>D$34*('ANNEXE 1 Grille'!$C20/'ANNEXE 1 Grille'!C$33)</f>
        <v>65.058651026392965</v>
      </c>
      <c r="E22" s="109">
        <f>E$34*('ANNEXE 1 Grille'!$C20/'ANNEXE 1 Grille'!C$34)</f>
        <v>10.009023234829687</v>
      </c>
      <c r="F22" s="109">
        <f>F$34*('ANNEXE 1 Grille'!$C20/'ANNEXE 1 Grille'!C$35)</f>
        <v>25.022558087074216</v>
      </c>
      <c r="G22" s="109">
        <f>G$34*('ANNEXE 1 Grille'!$C20/'ANNEXE 1 Grille'!C$36)</f>
        <v>191.34897360703812</v>
      </c>
    </row>
    <row r="23" spans="1:7" ht="17.25" customHeight="1" x14ac:dyDescent="0.3">
      <c r="A23" s="98" t="s">
        <v>31</v>
      </c>
      <c r="B23" s="109">
        <f t="shared" si="0"/>
        <v>292.64380780509816</v>
      </c>
      <c r="C23" s="109">
        <f>C$34*('ANNEXE 1 Grille'!$C21/'ANNEXE 1 Grille'!C$32)</f>
        <v>181.4279269117979</v>
      </c>
      <c r="D23" s="109">
        <f>D$34*('ANNEXE 1 Grille'!$C21/'ANNEXE 1 Grille'!C$33)</f>
        <v>24.826979472140767</v>
      </c>
      <c r="E23" s="109">
        <f>E$34*('ANNEXE 1 Grille'!$C21/'ANNEXE 1 Grille'!C$34)</f>
        <v>3.8195353034062718</v>
      </c>
      <c r="F23" s="109">
        <f>F$34*('ANNEXE 1 Grille'!$C21/'ANNEXE 1 Grille'!C$35)</f>
        <v>9.5488382585156799</v>
      </c>
      <c r="G23" s="109">
        <f>G$34*('ANNEXE 1 Grille'!$C21/'ANNEXE 1 Grille'!C$36)</f>
        <v>73.020527859237546</v>
      </c>
    </row>
    <row r="24" spans="1:7" x14ac:dyDescent="0.3">
      <c r="A24" s="103" t="s">
        <v>32</v>
      </c>
      <c r="B24" s="107">
        <f t="shared" si="0"/>
        <v>0</v>
      </c>
      <c r="C24" s="107"/>
      <c r="D24" s="107"/>
      <c r="E24" s="107"/>
      <c r="F24" s="107"/>
      <c r="G24" s="107"/>
    </row>
    <row r="25" spans="1:7" x14ac:dyDescent="0.3">
      <c r="A25" s="98" t="s">
        <v>33</v>
      </c>
      <c r="B25" s="109">
        <f t="shared" si="0"/>
        <v>541.21475298894666</v>
      </c>
      <c r="C25" s="109">
        <f>C$34*('ANNEXE 1 Grille'!$C23/'ANNEXE 1 Grille'!C$32)</f>
        <v>335.53237085495152</v>
      </c>
      <c r="D25" s="109">
        <f>D$34*('ANNEXE 1 Grille'!$C23/'ANNEXE 1 Grille'!C$33)</f>
        <v>45.914956011730204</v>
      </c>
      <c r="E25" s="109">
        <f>E$34*('ANNEXE 1 Grille'!$C23/'ANNEXE 1 Grille'!C$34)</f>
        <v>7.0638393864200317</v>
      </c>
      <c r="F25" s="109">
        <f>F$34*('ANNEXE 1 Grille'!$C23/'ANNEXE 1 Grille'!C$35)</f>
        <v>17.659598466050081</v>
      </c>
      <c r="G25" s="109">
        <f>G$34*('ANNEXE 1 Grille'!$C23/'ANNEXE 1 Grille'!C$36)</f>
        <v>135.04398826979474</v>
      </c>
    </row>
    <row r="26" spans="1:7" x14ac:dyDescent="0.3">
      <c r="A26" s="98" t="s">
        <v>128</v>
      </c>
      <c r="B26" s="109">
        <f t="shared" si="0"/>
        <v>1087.7182494924432</v>
      </c>
      <c r="C26" s="109">
        <f>C$34*('ANNEXE 1 Grille'!$C24/'ANNEXE 1 Grille'!C$32)</f>
        <v>674.34355966614032</v>
      </c>
      <c r="D26" s="109">
        <f>D$34*('ANNEXE 1 Grille'!$C24/'ANNEXE 1 Grille'!C$33)</f>
        <v>92.278592375366571</v>
      </c>
      <c r="E26" s="109">
        <f>E$34*('ANNEXE 1 Grille'!$C24/'ANNEXE 1 Grille'!C$34)</f>
        <v>14.196706519287163</v>
      </c>
      <c r="F26" s="109">
        <f>F$34*('ANNEXE 1 Grille'!$C24/'ANNEXE 1 Grille'!C$35)</f>
        <v>35.491766298217911</v>
      </c>
      <c r="G26" s="109">
        <f>G$34*('ANNEXE 1 Grille'!$C24/'ANNEXE 1 Grille'!C$36)</f>
        <v>271.40762463343106</v>
      </c>
    </row>
    <row r="27" spans="1:7" ht="30.75" customHeight="1" x14ac:dyDescent="0.3">
      <c r="A27" s="98" t="s">
        <v>35</v>
      </c>
      <c r="B27" s="109">
        <f t="shared" si="0"/>
        <v>1345.1037672005416</v>
      </c>
      <c r="C27" s="109">
        <f>C$34*('ANNEXE 1 Grille'!$C25/'ANNEXE 1 Grille'!C$32)</f>
        <v>833.91270020302295</v>
      </c>
      <c r="D27" s="109">
        <f>D$34*('ANNEXE 1 Grille'!$C25/'ANNEXE 1 Grille'!C$33)</f>
        <v>114.1143695014663</v>
      </c>
      <c r="E27" s="109">
        <f>E$34*('ANNEXE 1 Grille'!$C25/'ANNEXE 1 Grille'!C$34)</f>
        <v>17.55605684637943</v>
      </c>
      <c r="F27" s="109">
        <f>F$34*('ANNEXE 1 Grille'!$C25/'ANNEXE 1 Grille'!C$35)</f>
        <v>43.890142115948578</v>
      </c>
      <c r="G27" s="109">
        <f>G$34*('ANNEXE 1 Grille'!$C25/'ANNEXE 1 Grille'!C$36)</f>
        <v>335.63049853372439</v>
      </c>
    </row>
    <row r="28" spans="1:7" ht="15.75" customHeight="1" x14ac:dyDescent="0.3">
      <c r="A28" s="103" t="s">
        <v>129</v>
      </c>
      <c r="B28" s="103"/>
      <c r="C28" s="103"/>
      <c r="D28" s="103"/>
      <c r="E28" s="103"/>
      <c r="F28" s="103"/>
      <c r="G28" s="103"/>
    </row>
    <row r="29" spans="1:7" s="79" customFormat="1" ht="12" x14ac:dyDescent="0.25">
      <c r="A29" s="86" t="s">
        <v>72</v>
      </c>
      <c r="B29" s="86">
        <f t="shared" ref="B29" si="1">SUM(C29:G29)</f>
        <v>15630.000000000002</v>
      </c>
      <c r="C29" s="86">
        <f>SUM(C7:C28)</f>
        <v>9690.0000000000018</v>
      </c>
      <c r="D29" s="86">
        <f>SUM(D7:D28)</f>
        <v>1326.0000000000002</v>
      </c>
      <c r="E29" s="86">
        <f>SUM(E7:E28)</f>
        <v>204</v>
      </c>
      <c r="F29" s="86">
        <f>SUM(F7:F28)</f>
        <v>510</v>
      </c>
      <c r="G29" s="86">
        <f>SUM(G7:G28)</f>
        <v>3900</v>
      </c>
    </row>
    <row r="30" spans="1:7" ht="21.6" x14ac:dyDescent="0.3">
      <c r="A30" s="87" t="s">
        <v>151</v>
      </c>
      <c r="B30" s="106">
        <f>B29-B28</f>
        <v>15630.000000000002</v>
      </c>
      <c r="C30" s="106">
        <f>C29-C28</f>
        <v>9690.0000000000018</v>
      </c>
      <c r="D30" s="106">
        <f t="shared" ref="D30:G30" si="2">D29-D28</f>
        <v>1326.0000000000002</v>
      </c>
      <c r="E30" s="106">
        <f t="shared" si="2"/>
        <v>204</v>
      </c>
      <c r="F30" s="106">
        <f t="shared" si="2"/>
        <v>510</v>
      </c>
      <c r="G30" s="106">
        <f t="shared" si="2"/>
        <v>3900</v>
      </c>
    </row>
    <row r="31" spans="1:7" x14ac:dyDescent="0.3">
      <c r="A31" s="88"/>
      <c r="B31" s="88"/>
      <c r="C31" s="88"/>
      <c r="D31" s="88"/>
      <c r="E31" s="88"/>
      <c r="F31" s="88"/>
      <c r="G31" s="88"/>
    </row>
    <row r="32" spans="1:7" x14ac:dyDescent="0.3">
      <c r="A32" s="88"/>
      <c r="B32" s="88"/>
      <c r="C32" s="88"/>
      <c r="D32" s="88"/>
      <c r="E32" s="88"/>
      <c r="F32" s="88"/>
      <c r="G32" s="88"/>
    </row>
    <row r="33" spans="1:7" x14ac:dyDescent="0.3">
      <c r="A33" s="84"/>
      <c r="B33" s="114" t="s">
        <v>39</v>
      </c>
      <c r="C33" s="114" t="s">
        <v>74</v>
      </c>
      <c r="D33" s="114" t="s">
        <v>150</v>
      </c>
      <c r="E33" s="114" t="s">
        <v>73</v>
      </c>
      <c r="F33" s="114" t="s">
        <v>75</v>
      </c>
      <c r="G33" s="114" t="s">
        <v>76</v>
      </c>
    </row>
    <row r="34" spans="1:7" ht="24" x14ac:dyDescent="0.3">
      <c r="A34" s="113" t="s">
        <v>217</v>
      </c>
      <c r="B34" s="85">
        <f>SUM(C34:G34)</f>
        <v>15630</v>
      </c>
      <c r="C34" s="85">
        <f>C35*$C$37</f>
        <v>9690</v>
      </c>
      <c r="D34" s="85">
        <f t="shared" ref="D34:F34" si="3">D35*$C$37</f>
        <v>1326</v>
      </c>
      <c r="E34" s="85">
        <f t="shared" si="3"/>
        <v>204</v>
      </c>
      <c r="F34" s="85">
        <f t="shared" si="3"/>
        <v>510</v>
      </c>
      <c r="G34" s="85">
        <v>3900</v>
      </c>
    </row>
    <row r="35" spans="1:7" ht="24" x14ac:dyDescent="0.3">
      <c r="A35" s="113" t="s">
        <v>152</v>
      </c>
      <c r="B35" s="85">
        <f>SUM(C35:G35)</f>
        <v>15400</v>
      </c>
      <c r="C35" s="85">
        <v>9500</v>
      </c>
      <c r="D35" s="85">
        <v>1300</v>
      </c>
      <c r="E35" s="85">
        <v>200</v>
      </c>
      <c r="F35" s="85">
        <v>500</v>
      </c>
      <c r="G35" s="85">
        <v>3900</v>
      </c>
    </row>
    <row r="37" spans="1:7" ht="24" x14ac:dyDescent="0.3">
      <c r="B37" s="113" t="s">
        <v>200</v>
      </c>
      <c r="C37" s="90">
        <f>1.02</f>
        <v>1.02</v>
      </c>
    </row>
  </sheetData>
  <mergeCells count="1">
    <mergeCell ref="A3:A6"/>
  </mergeCells>
  <printOptions horizontalCentered="1" verticalCentered="1"/>
  <pageMargins left="0.70833333333333304" right="0.70833333333333304" top="0.74861111111111101" bottom="0.74861111111111101" header="0.31527777777777799" footer="0.31527777777777799"/>
  <pageSetup paperSize="9" scale="62" firstPageNumber="0" orientation="portrait" horizontalDpi="1200" verticalDpi="1200" r:id="rId1"/>
  <headerFooter>
    <oddHeader>&amp;C&amp;F</oddHeader>
    <oddFooter>&amp;L&amp;Z&amp;F&amp;R&amp;D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C37"/>
  <sheetViews>
    <sheetView workbookViewId="0">
      <selection activeCell="A3" sqref="A3:A6"/>
    </sheetView>
  </sheetViews>
  <sheetFormatPr baseColWidth="10" defaultRowHeight="14.4" x14ac:dyDescent="0.3"/>
  <cols>
    <col min="1" max="1" width="22" customWidth="1"/>
    <col min="2" max="2" width="36.109375" customWidth="1"/>
  </cols>
  <sheetData>
    <row r="1" spans="1:2" x14ac:dyDescent="0.3">
      <c r="A1" s="110" t="s">
        <v>263</v>
      </c>
      <c r="B1" s="89"/>
    </row>
    <row r="2" spans="1:2" x14ac:dyDescent="0.3">
      <c r="A2" s="89"/>
      <c r="B2" s="89"/>
    </row>
    <row r="3" spans="1:2" x14ac:dyDescent="0.3">
      <c r="A3" s="461" t="s">
        <v>40</v>
      </c>
      <c r="B3" s="114" t="s">
        <v>223</v>
      </c>
    </row>
    <row r="4" spans="1:2" x14ac:dyDescent="0.3">
      <c r="A4" s="461"/>
      <c r="B4" s="114"/>
    </row>
    <row r="5" spans="1:2" x14ac:dyDescent="0.3">
      <c r="A5" s="461"/>
      <c r="B5" s="114"/>
    </row>
    <row r="6" spans="1:2" x14ac:dyDescent="0.3">
      <c r="A6" s="461"/>
      <c r="B6" s="114" t="s">
        <v>216</v>
      </c>
    </row>
    <row r="7" spans="1:2" x14ac:dyDescent="0.3">
      <c r="A7" s="98" t="s">
        <v>15</v>
      </c>
      <c r="B7" s="112">
        <f>(B$34-B$28)*('ANNEXE 1 Grille'!C5/'ANNEXE 1 Grille'!C$55)</f>
        <v>1428.24047260512</v>
      </c>
    </row>
    <row r="8" spans="1:2" x14ac:dyDescent="0.3">
      <c r="A8" s="103" t="s">
        <v>50</v>
      </c>
      <c r="B8" s="123"/>
    </row>
    <row r="9" spans="1:2" x14ac:dyDescent="0.3">
      <c r="A9" s="98" t="s">
        <v>16</v>
      </c>
      <c r="B9" s="112">
        <f>(B$34-B$28)*('ANNEXE 1 Grille'!C7/'ANNEXE 1 Grille'!C$55)</f>
        <v>900.0347503764624</v>
      </c>
    </row>
    <row r="10" spans="1:2" x14ac:dyDescent="0.3">
      <c r="A10" s="98" t="s">
        <v>17</v>
      </c>
      <c r="B10" s="112">
        <f>(B$34-B$28)*('ANNEXE 1 Grille'!C8/'ANNEXE 1 Grille'!C$55)</f>
        <v>462.18000695007527</v>
      </c>
    </row>
    <row r="11" spans="1:2" x14ac:dyDescent="0.3">
      <c r="A11" s="98" t="s">
        <v>18</v>
      </c>
      <c r="B11" s="112">
        <f>(B$34-B$28)*('ANNEXE 1 Grille'!C9/'ANNEXE 1 Grille'!C$55)</f>
        <v>4910.22819413877</v>
      </c>
    </row>
    <row r="12" spans="1:2" x14ac:dyDescent="0.3">
      <c r="A12" s="98" t="s">
        <v>19</v>
      </c>
      <c r="B12" s="112">
        <f>(B$34-B$28)*('ANNEXE 1 Grille'!C10/'ANNEXE 1 Grille'!C$55)</f>
        <v>2905.1314722576158</v>
      </c>
    </row>
    <row r="13" spans="1:2" x14ac:dyDescent="0.3">
      <c r="A13" s="98" t="s">
        <v>20</v>
      </c>
      <c r="B13" s="112">
        <f>(B$34-B$28)*('ANNEXE 1 Grille'!C11/'ANNEXE 1 Grille'!C$55)</f>
        <v>142.47654349588788</v>
      </c>
    </row>
    <row r="14" spans="1:2" x14ac:dyDescent="0.3">
      <c r="A14" s="103" t="s">
        <v>21</v>
      </c>
      <c r="B14" s="123"/>
    </row>
    <row r="15" spans="1:2" x14ac:dyDescent="0.3">
      <c r="A15" s="98" t="s">
        <v>22</v>
      </c>
      <c r="B15" s="112">
        <f>(B$34-B$28)*('ANNEXE 1 Grille'!C13/'ANNEXE 1 Grille'!C$55)</f>
        <v>5111.7803776207584</v>
      </c>
    </row>
    <row r="16" spans="1:2" x14ac:dyDescent="0.3">
      <c r="A16" s="103" t="s">
        <v>24</v>
      </c>
      <c r="B16" s="123"/>
    </row>
    <row r="17" spans="1:3" x14ac:dyDescent="0.3">
      <c r="A17" s="98" t="s">
        <v>25</v>
      </c>
      <c r="B17" s="112">
        <f>(B$34-B$28)*('ANNEXE 1 Grille'!C15/'ANNEXE 1 Grille'!C$55)</f>
        <v>719.33279277192173</v>
      </c>
    </row>
    <row r="18" spans="1:3" x14ac:dyDescent="0.3">
      <c r="A18" s="103" t="s">
        <v>26</v>
      </c>
      <c r="B18" s="123"/>
    </row>
    <row r="19" spans="1:3" x14ac:dyDescent="0.3">
      <c r="A19" s="98" t="s">
        <v>27</v>
      </c>
      <c r="B19" s="112">
        <f>(B$34-B$28)*('ANNEXE 1 Grille'!C17/'ANNEXE 1 Grille'!C$55)</f>
        <v>2224.0240935943475</v>
      </c>
    </row>
    <row r="20" spans="1:3" x14ac:dyDescent="0.3">
      <c r="A20" s="98" t="s">
        <v>28</v>
      </c>
      <c r="B20" s="112">
        <f>(B$34-B$28)*('ANNEXE 1 Grille'!C18/'ANNEXE 1 Grille'!C$55)</f>
        <v>3245.6851615892506</v>
      </c>
    </row>
    <row r="21" spans="1:3" x14ac:dyDescent="0.3">
      <c r="A21" s="103" t="s">
        <v>29</v>
      </c>
      <c r="B21" s="123"/>
    </row>
    <row r="22" spans="1:3" x14ac:dyDescent="0.3">
      <c r="A22" s="98" t="s">
        <v>30</v>
      </c>
      <c r="B22" s="112">
        <f>(B$34-B$28)*('ANNEXE 1 Grille'!C20/'ANNEXE 1 Grille'!C$55)</f>
        <v>1511.6413761149079</v>
      </c>
    </row>
    <row r="23" spans="1:3" x14ac:dyDescent="0.3">
      <c r="A23" s="98" t="s">
        <v>31</v>
      </c>
      <c r="B23" s="112">
        <f>(B$34-B$28)*('ANNEXE 1 Grille'!C21/'ANNEXE 1 Grille'!C$55)</f>
        <v>576.85624927603385</v>
      </c>
    </row>
    <row r="24" spans="1:3" x14ac:dyDescent="0.3">
      <c r="A24" s="103" t="s">
        <v>32</v>
      </c>
      <c r="B24" s="123"/>
    </row>
    <row r="25" spans="1:3" x14ac:dyDescent="0.3">
      <c r="A25" s="98" t="s">
        <v>33</v>
      </c>
      <c r="B25" s="112">
        <f>(B$34-B$28)*('ANNEXE 1 Grille'!C23/'ANNEXE 1 Grille'!C$55)</f>
        <v>1066.8365573960384</v>
      </c>
    </row>
    <row r="26" spans="1:3" x14ac:dyDescent="0.3">
      <c r="A26" s="98" t="s">
        <v>128</v>
      </c>
      <c r="B26" s="112">
        <f>(B$34-B$28)*('ANNEXE 1 Grille'!C24/'ANNEXE 1 Grille'!C$55)</f>
        <v>2144.0982277308003</v>
      </c>
    </row>
    <row r="27" spans="1:3" x14ac:dyDescent="0.3">
      <c r="A27" s="98" t="s">
        <v>35</v>
      </c>
      <c r="B27" s="112">
        <f>(B$34-B$28)*('ANNEXE 1 Grille'!C25/'ANNEXE 1 Grille'!C$55)</f>
        <v>2651.4537240820114</v>
      </c>
      <c r="C27" s="59"/>
    </row>
    <row r="28" spans="1:3" x14ac:dyDescent="0.3">
      <c r="A28" s="86" t="s">
        <v>129</v>
      </c>
      <c r="B28" s="86">
        <f>0*B34</f>
        <v>0</v>
      </c>
    </row>
    <row r="29" spans="1:3" x14ac:dyDescent="0.3">
      <c r="A29" s="86" t="s">
        <v>72</v>
      </c>
      <c r="B29" s="86">
        <f>SUM(B7:B28)</f>
        <v>30000.000000000004</v>
      </c>
    </row>
    <row r="30" spans="1:3" ht="21.6" x14ac:dyDescent="0.3">
      <c r="A30" s="87" t="s">
        <v>130</v>
      </c>
      <c r="B30" s="106">
        <f t="shared" ref="B30" si="0">B29-B28</f>
        <v>30000.000000000004</v>
      </c>
    </row>
    <row r="31" spans="1:3" x14ac:dyDescent="0.3">
      <c r="A31" s="88"/>
      <c r="B31" s="88"/>
    </row>
    <row r="32" spans="1:3" x14ac:dyDescent="0.3">
      <c r="A32" s="88"/>
      <c r="B32" s="88"/>
    </row>
    <row r="33" spans="1:2" x14ac:dyDescent="0.3">
      <c r="A33" s="84"/>
      <c r="B33" s="99">
        <v>2023</v>
      </c>
    </row>
    <row r="34" spans="1:2" x14ac:dyDescent="0.3">
      <c r="A34" s="113" t="s">
        <v>219</v>
      </c>
      <c r="B34" s="85">
        <v>30000</v>
      </c>
    </row>
    <row r="36" spans="1:2" x14ac:dyDescent="0.3">
      <c r="A36" s="282" t="s">
        <v>269</v>
      </c>
      <c r="B36" s="274"/>
    </row>
    <row r="37" spans="1:2" x14ac:dyDescent="0.3">
      <c r="A37" s="282" t="s">
        <v>270</v>
      </c>
      <c r="B37" s="274"/>
    </row>
  </sheetData>
  <mergeCells count="1">
    <mergeCell ref="A3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D34"/>
  <sheetViews>
    <sheetView workbookViewId="0">
      <selection activeCell="A3" sqref="A3:A6"/>
    </sheetView>
  </sheetViews>
  <sheetFormatPr baseColWidth="10" defaultColWidth="9.109375" defaultRowHeight="14.4" x14ac:dyDescent="0.3"/>
  <cols>
    <col min="1" max="1" width="23.109375" style="89" customWidth="1"/>
    <col min="2" max="2" width="19" style="89" customWidth="1"/>
    <col min="4" max="4" width="10.109375" bestFit="1" customWidth="1"/>
  </cols>
  <sheetData>
    <row r="1" spans="1:2" x14ac:dyDescent="0.3">
      <c r="A1" s="110" t="s">
        <v>153</v>
      </c>
    </row>
    <row r="3" spans="1:2" ht="30" customHeight="1" x14ac:dyDescent="0.3">
      <c r="A3" s="461" t="s">
        <v>40</v>
      </c>
      <c r="B3" s="114" t="s">
        <v>154</v>
      </c>
    </row>
    <row r="4" spans="1:2" x14ac:dyDescent="0.3">
      <c r="A4" s="461"/>
      <c r="B4" s="114"/>
    </row>
    <row r="5" spans="1:2" x14ac:dyDescent="0.3">
      <c r="A5" s="461"/>
      <c r="B5" s="114"/>
    </row>
    <row r="6" spans="1:2" x14ac:dyDescent="0.3">
      <c r="A6" s="461"/>
      <c r="B6" s="114" t="s">
        <v>216</v>
      </c>
    </row>
    <row r="7" spans="1:2" x14ac:dyDescent="0.3">
      <c r="A7" s="98" t="s">
        <v>49</v>
      </c>
      <c r="B7" s="112">
        <f>B$34*('ANNEXE 1 Grille'!C5/'ANNEXE 1 Grille'!C$31)</f>
        <v>6296.8552010137082</v>
      </c>
    </row>
    <row r="8" spans="1:2" x14ac:dyDescent="0.3">
      <c r="A8" s="103" t="s">
        <v>50</v>
      </c>
      <c r="B8" s="123"/>
    </row>
    <row r="9" spans="1:2" x14ac:dyDescent="0.3">
      <c r="A9" s="98" t="s">
        <v>51</v>
      </c>
      <c r="B9" s="112">
        <f>B$34*('ANNEXE 1 Grille'!C7/'ANNEXE 1 Grille'!C$31)</f>
        <v>3968.0912337288332</v>
      </c>
    </row>
    <row r="10" spans="1:2" x14ac:dyDescent="0.3">
      <c r="A10" s="98" t="s">
        <v>52</v>
      </c>
      <c r="B10" s="112">
        <f>B$34*('ANNEXE 1 Grille'!C8/'ANNEXE 1 Grille'!C$31)</f>
        <v>2037.6684713742654</v>
      </c>
    </row>
    <row r="11" spans="1:2" x14ac:dyDescent="0.3">
      <c r="A11" s="98" t="s">
        <v>53</v>
      </c>
      <c r="B11" s="112">
        <f>B$34*('ANNEXE 1 Grille'!C9/'ANNEXE 1 Grille'!C$31)</f>
        <v>21648.312406404795</v>
      </c>
    </row>
    <row r="12" spans="1:2" x14ac:dyDescent="0.3">
      <c r="A12" s="98" t="s">
        <v>54</v>
      </c>
      <c r="B12" s="112">
        <f>B$34*('ANNEXE 1 Grille'!C10/'ANNEXE 1 Grille'!C$31)</f>
        <v>12808.201820066812</v>
      </c>
    </row>
    <row r="13" spans="1:2" x14ac:dyDescent="0.3">
      <c r="A13" s="98" t="s">
        <v>55</v>
      </c>
      <c r="B13" s="112">
        <f>B$34*('ANNEXE 1 Grille'!C11/'ANNEXE 1 Grille'!C$31)</f>
        <v>628.15343854394666</v>
      </c>
    </row>
    <row r="14" spans="1:2" x14ac:dyDescent="0.3">
      <c r="A14" s="103" t="s">
        <v>56</v>
      </c>
      <c r="B14" s="123"/>
    </row>
    <row r="15" spans="1:2" x14ac:dyDescent="0.3">
      <c r="A15" s="98" t="s">
        <v>57</v>
      </c>
      <c r="B15" s="112">
        <f>B$34*('ANNEXE 1 Grille'!C13/'ANNEXE 1 Grille'!C$31)</f>
        <v>22536.919709710863</v>
      </c>
    </row>
    <row r="16" spans="1:2" x14ac:dyDescent="0.3">
      <c r="A16" s="103" t="s">
        <v>58</v>
      </c>
      <c r="B16" s="123"/>
    </row>
    <row r="17" spans="1:2" x14ac:dyDescent="0.3">
      <c r="A17" s="98" t="s">
        <v>59</v>
      </c>
      <c r="B17" s="112">
        <f>B$34*('ANNEXE 1 Grille'!C15/'ANNEXE 1 Grille'!C$31)</f>
        <v>3171.408823868218</v>
      </c>
    </row>
    <row r="18" spans="1:2" x14ac:dyDescent="0.3">
      <c r="A18" s="103" t="s">
        <v>60</v>
      </c>
      <c r="B18" s="123"/>
    </row>
    <row r="19" spans="1:2" x14ac:dyDescent="0.3">
      <c r="A19" s="98" t="s">
        <v>61</v>
      </c>
      <c r="B19" s="112">
        <f>B$34*('ANNEXE 1 Grille'!C17/'ANNEXE 1 Grille'!C$31)</f>
        <v>9805.3219675152632</v>
      </c>
    </row>
    <row r="20" spans="1:2" x14ac:dyDescent="0.3">
      <c r="A20" s="98" t="s">
        <v>62</v>
      </c>
      <c r="B20" s="112">
        <f>B$34*('ANNEXE 1 Grille'!C18/'ANNEXE 1 Grille'!C$31)</f>
        <v>14309.641746342588</v>
      </c>
    </row>
    <row r="21" spans="1:2" x14ac:dyDescent="0.3">
      <c r="A21" s="103" t="s">
        <v>63</v>
      </c>
      <c r="B21" s="123"/>
    </row>
    <row r="22" spans="1:2" x14ac:dyDescent="0.3">
      <c r="A22" s="98" t="s">
        <v>64</v>
      </c>
      <c r="B22" s="112">
        <f>B$34*('ANNEXE 1 Grille'!C20/'ANNEXE 1 Grille'!C$31)</f>
        <v>6664.5547747955297</v>
      </c>
    </row>
    <row r="23" spans="1:2" x14ac:dyDescent="0.3">
      <c r="A23" s="98" t="s">
        <v>65</v>
      </c>
      <c r="B23" s="112">
        <f>B$34*('ANNEXE 1 Grille'!C21/'ANNEXE 1 Grille'!C$31)</f>
        <v>2543.2553853242716</v>
      </c>
    </row>
    <row r="24" spans="1:2" x14ac:dyDescent="0.3">
      <c r="A24" s="98" t="s">
        <v>66</v>
      </c>
      <c r="B24" s="112">
        <f>B$34*('ANNEXE 1 Grille'!C22/'ANNEXE 1 Grille'!C$31)</f>
        <v>735.39914756364476</v>
      </c>
    </row>
    <row r="25" spans="1:2" x14ac:dyDescent="0.3">
      <c r="A25" s="98" t="s">
        <v>67</v>
      </c>
      <c r="B25" s="112">
        <f>B$34*('ANNEXE 1 Grille'!C23/'ANNEXE 1 Grille'!C$31)</f>
        <v>4703.4903812924777</v>
      </c>
    </row>
    <row r="26" spans="1:2" x14ac:dyDescent="0.3">
      <c r="A26" s="98" t="s">
        <v>68</v>
      </c>
      <c r="B26" s="112">
        <f>B$34*('ANNEXE 1 Grille'!C24/'ANNEXE 1 Grille'!C$31)</f>
        <v>9452.943209307683</v>
      </c>
    </row>
    <row r="27" spans="1:2" x14ac:dyDescent="0.3">
      <c r="A27" s="98" t="s">
        <v>69</v>
      </c>
      <c r="B27" s="112">
        <f>B$34*('ANNEXE 1 Grille'!C25/'ANNEXE 1 Grille'!C$31)</f>
        <v>11689.782283147104</v>
      </c>
    </row>
    <row r="28" spans="1:2" x14ac:dyDescent="0.3">
      <c r="A28" s="103" t="s">
        <v>129</v>
      </c>
      <c r="B28" s="103"/>
    </row>
    <row r="29" spans="1:2" x14ac:dyDescent="0.3">
      <c r="A29" s="86" t="s">
        <v>72</v>
      </c>
      <c r="B29" s="86">
        <f>SUM(B7:B28)</f>
        <v>133000</v>
      </c>
    </row>
    <row r="30" spans="1:2" ht="34.5" customHeight="1" x14ac:dyDescent="0.3">
      <c r="A30" s="87" t="s">
        <v>130</v>
      </c>
      <c r="B30" s="106">
        <f>B29-B28</f>
        <v>133000</v>
      </c>
    </row>
    <row r="31" spans="1:2" x14ac:dyDescent="0.3">
      <c r="A31" s="88"/>
      <c r="B31" s="88"/>
    </row>
    <row r="32" spans="1:2" x14ac:dyDescent="0.3">
      <c r="A32" s="88"/>
      <c r="B32" s="88"/>
    </row>
    <row r="33" spans="1:4" x14ac:dyDescent="0.3">
      <c r="A33" s="84"/>
      <c r="B33" s="99">
        <v>2023</v>
      </c>
      <c r="D33" s="100"/>
    </row>
    <row r="34" spans="1:4" x14ac:dyDescent="0.3">
      <c r="A34" s="113" t="s">
        <v>300</v>
      </c>
      <c r="B34" s="85">
        <v>133000</v>
      </c>
      <c r="D34" s="101"/>
    </row>
  </sheetData>
  <mergeCells count="1">
    <mergeCell ref="A3:A6"/>
  </mergeCells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B34"/>
  <sheetViews>
    <sheetView workbookViewId="0">
      <selection activeCell="A3" sqref="A3:A6"/>
    </sheetView>
  </sheetViews>
  <sheetFormatPr baseColWidth="10" defaultRowHeight="14.4" x14ac:dyDescent="0.3"/>
  <cols>
    <col min="1" max="1" width="22" customWidth="1"/>
    <col min="2" max="2" width="36.109375" customWidth="1"/>
  </cols>
  <sheetData>
    <row r="1" spans="1:2" x14ac:dyDescent="0.3">
      <c r="A1" s="110" t="s">
        <v>330</v>
      </c>
      <c r="B1" s="89"/>
    </row>
    <row r="2" spans="1:2" x14ac:dyDescent="0.3">
      <c r="A2" s="89"/>
      <c r="B2" s="89"/>
    </row>
    <row r="3" spans="1:2" ht="24" x14ac:dyDescent="0.3">
      <c r="A3" s="461" t="s">
        <v>40</v>
      </c>
      <c r="B3" s="114" t="s">
        <v>220</v>
      </c>
    </row>
    <row r="4" spans="1:2" x14ac:dyDescent="0.3">
      <c r="A4" s="461"/>
      <c r="B4" s="114"/>
    </row>
    <row r="5" spans="1:2" x14ac:dyDescent="0.3">
      <c r="A5" s="461"/>
      <c r="B5" s="114"/>
    </row>
    <row r="6" spans="1:2" x14ac:dyDescent="0.3">
      <c r="A6" s="461"/>
      <c r="B6" s="114" t="s">
        <v>216</v>
      </c>
    </row>
    <row r="7" spans="1:2" x14ac:dyDescent="0.3">
      <c r="A7" s="98" t="s">
        <v>15</v>
      </c>
      <c r="B7" s="112">
        <f>(B$34-B$28)*('ANNEXE 1 Grille'!C5/'ANNEXE 1 Grille'!C$53)</f>
        <v>1586.8725868725869</v>
      </c>
    </row>
    <row r="8" spans="1:2" x14ac:dyDescent="0.3">
      <c r="A8" s="103" t="s">
        <v>50</v>
      </c>
      <c r="B8" s="123"/>
    </row>
    <row r="9" spans="1:2" x14ac:dyDescent="0.3">
      <c r="A9" s="98" t="s">
        <v>16</v>
      </c>
      <c r="B9" s="112">
        <f>(B$34-B$28)*('ANNEXE 1 Grille'!C7/'ANNEXE 1 Grille'!C$53)</f>
        <v>1000</v>
      </c>
    </row>
    <row r="10" spans="1:2" x14ac:dyDescent="0.3">
      <c r="A10" s="98" t="s">
        <v>17</v>
      </c>
      <c r="B10" s="112">
        <f>(B$34-B$28)*('ANNEXE 1 Grille'!C8/'ANNEXE 1 Grille'!C$53)</f>
        <v>513.51351351351354</v>
      </c>
    </row>
    <row r="11" spans="1:2" x14ac:dyDescent="0.3">
      <c r="A11" s="98" t="s">
        <v>18</v>
      </c>
      <c r="B11" s="112">
        <f>(B$34-B$28)*('ANNEXE 1 Grille'!C9/'ANNEXE 1 Grille'!C$53)</f>
        <v>5455.598455598456</v>
      </c>
    </row>
    <row r="12" spans="1:2" x14ac:dyDescent="0.3">
      <c r="A12" s="98" t="s">
        <v>19</v>
      </c>
      <c r="B12" s="112">
        <f>(B$34-B$28)*('ANNEXE 1 Grille'!C10/'ANNEXE 1 Grille'!C$53)</f>
        <v>3227.7992277992275</v>
      </c>
    </row>
    <row r="13" spans="1:2" x14ac:dyDescent="0.3">
      <c r="A13" s="98" t="s">
        <v>20</v>
      </c>
      <c r="B13" s="112">
        <f>(B$34-B$28)*('ANNEXE 1 Grille'!C11/'ANNEXE 1 Grille'!C$53)</f>
        <v>158.30115830115832</v>
      </c>
    </row>
    <row r="14" spans="1:2" x14ac:dyDescent="0.3">
      <c r="A14" s="98" t="s">
        <v>21</v>
      </c>
      <c r="B14" s="112">
        <f>(B$34-B$28)*('ANNEXE 1 Grille'!C12/'ANNEXE 1 Grille'!C$53)</f>
        <v>899.61389961389966</v>
      </c>
    </row>
    <row r="15" spans="1:2" x14ac:dyDescent="0.3">
      <c r="A15" s="98" t="s">
        <v>22</v>
      </c>
      <c r="B15" s="112">
        <f>(B$34-B$28)*('ANNEXE 1 Grille'!C13/'ANNEXE 1 Grille'!C$53)</f>
        <v>5679.5366795366799</v>
      </c>
    </row>
    <row r="16" spans="1:2" x14ac:dyDescent="0.3">
      <c r="A16" s="98" t="s">
        <v>24</v>
      </c>
      <c r="B16" s="112">
        <f>(B$34-B$28)*('ANNEXE 1 Grille'!C14/'ANNEXE 1 Grille'!C$53)</f>
        <v>328.18532818532822</v>
      </c>
    </row>
    <row r="17" spans="1:2" x14ac:dyDescent="0.3">
      <c r="A17" s="98" t="s">
        <v>25</v>
      </c>
      <c r="B17" s="112">
        <f>(B$34-B$28)*('ANNEXE 1 Grille'!C15/'ANNEXE 1 Grille'!C$53)</f>
        <v>799.22779922779921</v>
      </c>
    </row>
    <row r="18" spans="1:2" x14ac:dyDescent="0.3">
      <c r="A18" s="98" t="s">
        <v>26</v>
      </c>
      <c r="B18" s="112">
        <f>(B$34-B$28)*('ANNEXE 1 Grille'!C16/'ANNEXE 1 Grille'!C$53)</f>
        <v>111.96911196911196</v>
      </c>
    </row>
    <row r="19" spans="1:2" x14ac:dyDescent="0.3">
      <c r="A19" s="98" t="s">
        <v>27</v>
      </c>
      <c r="B19" s="112">
        <f>(B$34-B$28)*('ANNEXE 1 Grille'!C17/'ANNEXE 1 Grille'!C$53)</f>
        <v>2471.0424710424713</v>
      </c>
    </row>
    <row r="20" spans="1:2" x14ac:dyDescent="0.3">
      <c r="A20" s="98" t="s">
        <v>28</v>
      </c>
      <c r="B20" s="112">
        <f>(B$34-B$28)*('ANNEXE 1 Grille'!C18/'ANNEXE 1 Grille'!C$53)</f>
        <v>3606.1776061776059</v>
      </c>
    </row>
    <row r="21" spans="1:2" x14ac:dyDescent="0.3">
      <c r="A21" s="98" t="s">
        <v>29</v>
      </c>
      <c r="B21" s="112">
        <f>(B$34-B$28)*('ANNEXE 1 Grille'!C19/'ANNEXE 1 Grille'!C$53)</f>
        <v>142.85714285714286</v>
      </c>
    </row>
    <row r="22" spans="1:2" x14ac:dyDescent="0.3">
      <c r="A22" s="98" t="s">
        <v>30</v>
      </c>
      <c r="B22" s="112">
        <f>(B$34-B$28)*('ANNEXE 1 Grille'!C20/'ANNEXE 1 Grille'!C$53)</f>
        <v>1679.5366795366795</v>
      </c>
    </row>
    <row r="23" spans="1:2" x14ac:dyDescent="0.3">
      <c r="A23" s="98" t="s">
        <v>31</v>
      </c>
      <c r="B23" s="112">
        <f>(B$34-B$28)*('ANNEXE 1 Grille'!C21/'ANNEXE 1 Grille'!C$53)</f>
        <v>640.92664092664097</v>
      </c>
    </row>
    <row r="24" spans="1:2" x14ac:dyDescent="0.3">
      <c r="A24" s="98" t="s">
        <v>32</v>
      </c>
      <c r="B24" s="112">
        <f>(B$34-B$28)*('ANNEXE 1 Grille'!C22/'ANNEXE 1 Grille'!C$53)</f>
        <v>185.32818532818533</v>
      </c>
    </row>
    <row r="25" spans="1:2" x14ac:dyDescent="0.3">
      <c r="A25" s="98" t="s">
        <v>33</v>
      </c>
      <c r="B25" s="112">
        <f>(B$34-B$28)*('ANNEXE 1 Grille'!C23/'ANNEXE 1 Grille'!C$53)</f>
        <v>1185.3281853281853</v>
      </c>
    </row>
    <row r="26" spans="1:2" x14ac:dyDescent="0.3">
      <c r="A26" s="98" t="s">
        <v>128</v>
      </c>
      <c r="B26" s="112">
        <f>(B$34-B$28)*('ANNEXE 1 Grille'!C24/'ANNEXE 1 Grille'!C$53)</f>
        <v>2382.2393822393824</v>
      </c>
    </row>
    <row r="27" spans="1:2" x14ac:dyDescent="0.3">
      <c r="A27" s="98" t="s">
        <v>35</v>
      </c>
      <c r="B27" s="112">
        <f>(B$34-B$28)*('ANNEXE 1 Grille'!C25/'ANNEXE 1 Grille'!C$53)</f>
        <v>2945.9459459459463</v>
      </c>
    </row>
    <row r="28" spans="1:2" x14ac:dyDescent="0.3">
      <c r="A28" s="103" t="s">
        <v>129</v>
      </c>
      <c r="B28" s="123">
        <f>0*B34</f>
        <v>0</v>
      </c>
    </row>
    <row r="29" spans="1:2" x14ac:dyDescent="0.3">
      <c r="A29" s="86" t="s">
        <v>72</v>
      </c>
      <c r="B29" s="86">
        <f>SUM(B7:B28)</f>
        <v>35000</v>
      </c>
    </row>
    <row r="30" spans="1:2" ht="21.6" x14ac:dyDescent="0.3">
      <c r="A30" s="87" t="s">
        <v>130</v>
      </c>
      <c r="B30" s="106">
        <f t="shared" ref="B30" si="0">B29-B28</f>
        <v>35000</v>
      </c>
    </row>
    <row r="31" spans="1:2" x14ac:dyDescent="0.3">
      <c r="A31" s="88"/>
      <c r="B31" s="88"/>
    </row>
    <row r="32" spans="1:2" x14ac:dyDescent="0.3">
      <c r="A32" s="88"/>
      <c r="B32" s="88"/>
    </row>
    <row r="33" spans="1:2" x14ac:dyDescent="0.3">
      <c r="A33" s="84"/>
      <c r="B33" s="99">
        <v>2023</v>
      </c>
    </row>
    <row r="34" spans="1:2" x14ac:dyDescent="0.3">
      <c r="A34" s="113" t="s">
        <v>219</v>
      </c>
      <c r="B34" s="85">
        <v>35000</v>
      </c>
    </row>
  </sheetData>
  <mergeCells count="1">
    <mergeCell ref="A3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B34"/>
  <sheetViews>
    <sheetView workbookViewId="0">
      <selection activeCell="A3" sqref="A3:A6"/>
    </sheetView>
  </sheetViews>
  <sheetFormatPr baseColWidth="10" defaultRowHeight="14.4" x14ac:dyDescent="0.3"/>
  <cols>
    <col min="1" max="1" width="22" customWidth="1"/>
    <col min="2" max="2" width="36.109375" customWidth="1"/>
  </cols>
  <sheetData>
    <row r="1" spans="1:2" x14ac:dyDescent="0.3">
      <c r="A1" s="110" t="s">
        <v>264</v>
      </c>
      <c r="B1" s="89"/>
    </row>
    <row r="2" spans="1:2" x14ac:dyDescent="0.3">
      <c r="A2" s="89"/>
      <c r="B2" s="89"/>
    </row>
    <row r="3" spans="1:2" x14ac:dyDescent="0.3">
      <c r="A3" s="461" t="s">
        <v>40</v>
      </c>
      <c r="B3" s="114" t="s">
        <v>221</v>
      </c>
    </row>
    <row r="4" spans="1:2" x14ac:dyDescent="0.3">
      <c r="A4" s="461"/>
      <c r="B4" s="114"/>
    </row>
    <row r="5" spans="1:2" x14ac:dyDescent="0.3">
      <c r="A5" s="461"/>
      <c r="B5" s="114"/>
    </row>
    <row r="6" spans="1:2" x14ac:dyDescent="0.3">
      <c r="A6" s="461"/>
      <c r="B6" s="114" t="s">
        <v>216</v>
      </c>
    </row>
    <row r="7" spans="1:2" x14ac:dyDescent="0.3">
      <c r="A7" s="98" t="s">
        <v>15</v>
      </c>
      <c r="B7" s="112">
        <f>(B$34-B$28)*('ANNEXE 1 Grille'!C5/'ANNEXE 1 Grille'!C$54)</f>
        <v>680.08825151682299</v>
      </c>
    </row>
    <row r="8" spans="1:2" x14ac:dyDescent="0.3">
      <c r="A8" s="103" t="s">
        <v>50</v>
      </c>
      <c r="B8" s="123"/>
    </row>
    <row r="9" spans="1:2" x14ac:dyDescent="0.3">
      <c r="A9" s="98" t="s">
        <v>16</v>
      </c>
      <c r="B9" s="112">
        <f>(B$34-B$28)*('ANNEXE 1 Grille'!C7/'ANNEXE 1 Grille'!C$54)</f>
        <v>428.57142857142856</v>
      </c>
    </row>
    <row r="10" spans="1:2" x14ac:dyDescent="0.3">
      <c r="A10" s="98" t="s">
        <v>17</v>
      </c>
      <c r="B10" s="112">
        <f>(B$34-B$28)*('ANNEXE 1 Grille'!C8/'ANNEXE 1 Grille'!C$54)</f>
        <v>220.07722007722006</v>
      </c>
    </row>
    <row r="11" spans="1:2" x14ac:dyDescent="0.3">
      <c r="A11" s="98" t="s">
        <v>18</v>
      </c>
      <c r="B11" s="112">
        <f>(B$34-B$28)*('ANNEXE 1 Grille'!C9/'ANNEXE 1 Grille'!C$54)</f>
        <v>2338.1136238279096</v>
      </c>
    </row>
    <row r="12" spans="1:2" x14ac:dyDescent="0.3">
      <c r="A12" s="98" t="s">
        <v>19</v>
      </c>
      <c r="B12" s="112">
        <f>(B$34-B$28)*('ANNEXE 1 Grille'!C10/'ANNEXE 1 Grille'!C$54)</f>
        <v>1383.342526199669</v>
      </c>
    </row>
    <row r="13" spans="1:2" x14ac:dyDescent="0.3">
      <c r="A13" s="98" t="s">
        <v>20</v>
      </c>
      <c r="B13" s="112">
        <f>(B$34-B$28)*('ANNEXE 1 Grille'!C11/'ANNEXE 1 Grille'!C$54)</f>
        <v>67.84335355763929</v>
      </c>
    </row>
    <row r="14" spans="1:2" x14ac:dyDescent="0.3">
      <c r="A14" s="98" t="s">
        <v>21</v>
      </c>
      <c r="B14" s="112">
        <f>(B$34-B$28)*('ANNEXE 1 Grille'!C12/'ANNEXE 1 Grille'!C$54)</f>
        <v>385.5488141202427</v>
      </c>
    </row>
    <row r="15" spans="1:2" x14ac:dyDescent="0.3">
      <c r="A15" s="98" t="s">
        <v>22</v>
      </c>
      <c r="B15" s="112">
        <f>(B$34-B$28)*('ANNEXE 1 Grille'!C13/'ANNEXE 1 Grille'!C$54)</f>
        <v>2434.0871483728629</v>
      </c>
    </row>
    <row r="16" spans="1:2" x14ac:dyDescent="0.3">
      <c r="A16" s="98" t="s">
        <v>24</v>
      </c>
      <c r="B16" s="112">
        <f>(B$34-B$28)*('ANNEXE 1 Grille'!C14/'ANNEXE 1 Grille'!C$54)</f>
        <v>140.65085493656923</v>
      </c>
    </row>
    <row r="17" spans="1:2" x14ac:dyDescent="0.3">
      <c r="A17" s="98" t="s">
        <v>25</v>
      </c>
      <c r="B17" s="112">
        <f>(B$34-B$28)*('ANNEXE 1 Grille'!C15/'ANNEXE 1 Grille'!C$54)</f>
        <v>342.52619966905684</v>
      </c>
    </row>
    <row r="18" spans="1:2" x14ac:dyDescent="0.3">
      <c r="A18" s="98" t="s">
        <v>26</v>
      </c>
      <c r="B18" s="112">
        <f>(B$34-B$28)*('ANNEXE 1 Grille'!C16/'ANNEXE 1 Grille'!C$54)</f>
        <v>47.986762272476554</v>
      </c>
    </row>
    <row r="19" spans="1:2" x14ac:dyDescent="0.3">
      <c r="A19" s="98" t="s">
        <v>27</v>
      </c>
      <c r="B19" s="112">
        <f>(B$34-B$28)*('ANNEXE 1 Grille'!C17/'ANNEXE 1 Grille'!C$54)</f>
        <v>1059.0182018753449</v>
      </c>
    </row>
    <row r="20" spans="1:2" x14ac:dyDescent="0.3">
      <c r="A20" s="98" t="s">
        <v>28</v>
      </c>
      <c r="B20" s="112">
        <f>(B$34-B$28)*('ANNEXE 1 Grille'!C18/'ANNEXE 1 Grille'!C$54)</f>
        <v>1545.5046883618311</v>
      </c>
    </row>
    <row r="21" spans="1:2" x14ac:dyDescent="0.3">
      <c r="A21" s="98" t="s">
        <v>29</v>
      </c>
      <c r="B21" s="112">
        <f>(B$34-B$28)*('ANNEXE 1 Grille'!C19/'ANNEXE 1 Grille'!C$54)</f>
        <v>61.224489795918373</v>
      </c>
    </row>
    <row r="22" spans="1:2" x14ac:dyDescent="0.3">
      <c r="A22" s="98" t="s">
        <v>30</v>
      </c>
      <c r="B22" s="112">
        <f>(B$34-B$28)*('ANNEXE 1 Grille'!C20/'ANNEXE 1 Grille'!C$54)</f>
        <v>719.80143408714832</v>
      </c>
    </row>
    <row r="23" spans="1:2" x14ac:dyDescent="0.3">
      <c r="A23" s="98" t="s">
        <v>31</v>
      </c>
      <c r="B23" s="112">
        <f>(B$34-B$28)*('ANNEXE 1 Grille'!C21/'ANNEXE 1 Grille'!C$54)</f>
        <v>274.68284611141758</v>
      </c>
    </row>
    <row r="24" spans="1:2" x14ac:dyDescent="0.3">
      <c r="A24" s="98" t="s">
        <v>32</v>
      </c>
      <c r="B24" s="112">
        <f>(B$34-B$28)*('ANNEXE 1 Grille'!C22/'ANNEXE 1 Grille'!C$54)</f>
        <v>79.426365140650844</v>
      </c>
    </row>
    <row r="25" spans="1:2" x14ac:dyDescent="0.3">
      <c r="A25" s="98" t="s">
        <v>33</v>
      </c>
      <c r="B25" s="112">
        <f>(B$34-B$28)*('ANNEXE 1 Grille'!C23/'ANNEXE 1 Grille'!C$54)</f>
        <v>507.99779371207944</v>
      </c>
    </row>
    <row r="26" spans="1:2" x14ac:dyDescent="0.3">
      <c r="A26" s="98" t="s">
        <v>128</v>
      </c>
      <c r="B26" s="112">
        <f>(B$34-B$28)*('ANNEXE 1 Grille'!C24/'ANNEXE 1 Grille'!C$54)</f>
        <v>1020.9597352454497</v>
      </c>
    </row>
    <row r="27" spans="1:2" x14ac:dyDescent="0.3">
      <c r="A27" s="98" t="s">
        <v>35</v>
      </c>
      <c r="B27" s="112">
        <f>(B$34-B$28)*('ANNEXE 1 Grille'!C25/'ANNEXE 1 Grille'!C$54)</f>
        <v>1262.5482625482628</v>
      </c>
    </row>
    <row r="28" spans="1:2" x14ac:dyDescent="0.3">
      <c r="A28" s="103" t="s">
        <v>129</v>
      </c>
      <c r="B28" s="123">
        <f>0*B34</f>
        <v>0</v>
      </c>
    </row>
    <row r="29" spans="1:2" x14ac:dyDescent="0.3">
      <c r="A29" s="86" t="s">
        <v>72</v>
      </c>
      <c r="B29" s="86">
        <f>SUM(B7:B28)</f>
        <v>15000</v>
      </c>
    </row>
    <row r="30" spans="1:2" ht="21.6" x14ac:dyDescent="0.3">
      <c r="A30" s="87" t="s">
        <v>130</v>
      </c>
      <c r="B30" s="106">
        <f t="shared" ref="B30" si="0">B29-B28</f>
        <v>15000</v>
      </c>
    </row>
    <row r="31" spans="1:2" x14ac:dyDescent="0.3">
      <c r="A31" s="88"/>
      <c r="B31" s="88"/>
    </row>
    <row r="32" spans="1:2" x14ac:dyDescent="0.3">
      <c r="A32" s="88"/>
      <c r="B32" s="88"/>
    </row>
    <row r="33" spans="1:2" x14ac:dyDescent="0.3">
      <c r="A33" s="84"/>
      <c r="B33" s="99">
        <v>2023</v>
      </c>
    </row>
    <row r="34" spans="1:2" x14ac:dyDescent="0.3">
      <c r="A34" s="113" t="s">
        <v>219</v>
      </c>
      <c r="B34" s="85">
        <v>15000</v>
      </c>
    </row>
  </sheetData>
  <mergeCells count="1">
    <mergeCell ref="A3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FF"/>
    <pageSetUpPr fitToPage="1"/>
  </sheetPr>
  <dimension ref="A1:AJN56"/>
  <sheetViews>
    <sheetView workbookViewId="0">
      <selection activeCell="A3" sqref="A3"/>
    </sheetView>
  </sheetViews>
  <sheetFormatPr baseColWidth="10" defaultColWidth="9.109375" defaultRowHeight="14.4" x14ac:dyDescent="0.3"/>
  <cols>
    <col min="1" max="1" width="21.33203125" customWidth="1"/>
    <col min="2" max="2" width="20.44140625" style="21" customWidth="1"/>
    <col min="3" max="3" width="17.88671875" customWidth="1"/>
    <col min="4" max="4" width="18.109375" customWidth="1"/>
    <col min="5" max="5" width="9.5546875" bestFit="1" customWidth="1"/>
  </cols>
  <sheetData>
    <row r="1" spans="1:896" x14ac:dyDescent="0.3">
      <c r="A1" s="100" t="s">
        <v>155</v>
      </c>
    </row>
    <row r="3" spans="1:896" s="1" customFormat="1" ht="30" customHeight="1" x14ac:dyDescent="0.3">
      <c r="A3"/>
      <c r="B3" s="95" t="s">
        <v>173</v>
      </c>
      <c r="C3" s="95" t="s">
        <v>198</v>
      </c>
      <c r="D3" s="95" t="s">
        <v>199</v>
      </c>
    </row>
    <row r="4" spans="1:896" x14ac:dyDescent="0.3">
      <c r="A4" s="96" t="s">
        <v>156</v>
      </c>
      <c r="B4" s="95"/>
      <c r="C4" s="95"/>
      <c r="D4" s="95"/>
      <c r="AHL4" s="1"/>
    </row>
    <row r="5" spans="1:896" x14ac:dyDescent="0.3">
      <c r="A5" s="92" t="s">
        <v>15</v>
      </c>
      <c r="B5" s="93">
        <v>4.1599999999999998E-2</v>
      </c>
      <c r="C5" s="93">
        <v>4.1099999999999998E-2</v>
      </c>
      <c r="D5" s="93">
        <v>4.07E-2</v>
      </c>
      <c r="F5" s="98" t="s">
        <v>15</v>
      </c>
      <c r="H5" s="313">
        <f>D5/B5-1</f>
        <v>-2.1634615384615308E-2</v>
      </c>
      <c r="AHL5" s="1"/>
    </row>
    <row r="6" spans="1:896" x14ac:dyDescent="0.3">
      <c r="A6" s="92" t="s">
        <v>50</v>
      </c>
      <c r="B6" s="93">
        <v>3.2995985484139116E-2</v>
      </c>
      <c r="C6" s="93">
        <v>3.2995985484139116E-2</v>
      </c>
      <c r="D6" s="93">
        <v>3.2995985484139116E-2</v>
      </c>
      <c r="F6" s="103" t="s">
        <v>50</v>
      </c>
      <c r="H6" s="313">
        <f t="shared" ref="H6:H25" si="0">D6/B6-1</f>
        <v>0</v>
      </c>
      <c r="AHL6" s="1"/>
    </row>
    <row r="7" spans="1:896" x14ac:dyDescent="0.3">
      <c r="A7" s="92" t="s">
        <v>16</v>
      </c>
      <c r="B7" s="93">
        <v>2.5399999999999999E-2</v>
      </c>
      <c r="C7" s="93">
        <v>2.5899999999999999E-2</v>
      </c>
      <c r="D7" s="93">
        <v>2.63E-2</v>
      </c>
      <c r="F7" s="98" t="s">
        <v>16</v>
      </c>
      <c r="H7" s="313">
        <f t="shared" si="0"/>
        <v>3.5433070866141891E-2</v>
      </c>
      <c r="AHL7" s="1"/>
    </row>
    <row r="8" spans="1:896" x14ac:dyDescent="0.3">
      <c r="A8" s="92" t="s">
        <v>17</v>
      </c>
      <c r="B8" s="93">
        <v>1.26E-2</v>
      </c>
      <c r="C8" s="93">
        <v>1.3299999999999999E-2</v>
      </c>
      <c r="D8" s="93">
        <v>1.3899999999999999E-2</v>
      </c>
      <c r="F8" s="98" t="s">
        <v>17</v>
      </c>
      <c r="H8" s="313">
        <f t="shared" si="0"/>
        <v>0.10317460317460303</v>
      </c>
      <c r="AHL8" s="1"/>
    </row>
    <row r="9" spans="1:896" x14ac:dyDescent="0.3">
      <c r="A9" s="92" t="s">
        <v>18</v>
      </c>
      <c r="B9" s="93">
        <v>0.14560000000000001</v>
      </c>
      <c r="C9" s="93">
        <v>0.14130000000000001</v>
      </c>
      <c r="D9" s="93">
        <v>0.13669999999999999</v>
      </c>
      <c r="F9" s="98" t="s">
        <v>18</v>
      </c>
      <c r="H9" s="313">
        <f t="shared" si="0"/>
        <v>-6.1126373626373742E-2</v>
      </c>
      <c r="AHL9" s="1"/>
    </row>
    <row r="10" spans="1:896" x14ac:dyDescent="0.3">
      <c r="A10" s="92" t="s">
        <v>19</v>
      </c>
      <c r="B10" s="94">
        <v>7.8100000000000003E-2</v>
      </c>
      <c r="C10" s="94">
        <v>8.3599999999999994E-2</v>
      </c>
      <c r="D10" s="94">
        <v>8.9499999999999996E-2</v>
      </c>
      <c r="F10" s="98" t="s">
        <v>19</v>
      </c>
      <c r="H10" s="313">
        <f t="shared" si="0"/>
        <v>0.14596670934699096</v>
      </c>
      <c r="AHL10" s="1"/>
    </row>
    <row r="11" spans="1:896" x14ac:dyDescent="0.3">
      <c r="A11" s="92" t="s">
        <v>20</v>
      </c>
      <c r="B11" s="93">
        <v>4.0000000000000001E-3</v>
      </c>
      <c r="C11" s="93">
        <v>4.1000000000000003E-3</v>
      </c>
      <c r="D11" s="93">
        <v>4.1000000000000003E-3</v>
      </c>
      <c r="F11" s="98" t="s">
        <v>20</v>
      </c>
      <c r="H11" s="313">
        <f t="shared" si="0"/>
        <v>2.5000000000000133E-2</v>
      </c>
      <c r="AHL11" s="1"/>
    </row>
    <row r="12" spans="1:896" x14ac:dyDescent="0.3">
      <c r="A12" s="92" t="s">
        <v>21</v>
      </c>
      <c r="B12" s="93">
        <v>2.2599999999999999E-2</v>
      </c>
      <c r="C12" s="93">
        <v>2.3300000000000001E-2</v>
      </c>
      <c r="D12" s="93">
        <v>2.3900000000000001E-2</v>
      </c>
      <c r="F12" s="103" t="s">
        <v>21</v>
      </c>
      <c r="H12" s="313">
        <f t="shared" si="0"/>
        <v>5.752212389380551E-2</v>
      </c>
      <c r="AHL12" s="1"/>
    </row>
    <row r="13" spans="1:896" x14ac:dyDescent="0.3">
      <c r="A13" s="92" t="s">
        <v>22</v>
      </c>
      <c r="B13" s="93">
        <v>0.14449999999999999</v>
      </c>
      <c r="C13" s="93">
        <v>0.14710000000000001</v>
      </c>
      <c r="D13" s="93">
        <v>0.14949999999999999</v>
      </c>
      <c r="F13" s="98" t="s">
        <v>22</v>
      </c>
      <c r="H13" s="313">
        <f t="shared" si="0"/>
        <v>3.460207612456756E-2</v>
      </c>
      <c r="AHL13" s="1"/>
    </row>
    <row r="14" spans="1:896" x14ac:dyDescent="0.3">
      <c r="A14" s="92" t="s">
        <v>24</v>
      </c>
      <c r="B14" s="93">
        <v>8.3000000000000001E-3</v>
      </c>
      <c r="C14" s="93">
        <v>8.5000000000000006E-3</v>
      </c>
      <c r="D14" s="93">
        <v>8.8000000000000005E-3</v>
      </c>
      <c r="F14" s="103" t="s">
        <v>24</v>
      </c>
      <c r="H14" s="313">
        <f t="shared" si="0"/>
        <v>6.024096385542177E-2</v>
      </c>
      <c r="AHL14" s="1"/>
    </row>
    <row r="15" spans="1:896" x14ac:dyDescent="0.3">
      <c r="A15" s="92" t="s">
        <v>25</v>
      </c>
      <c r="B15" s="93">
        <v>1.9800000000000002E-2</v>
      </c>
      <c r="C15" s="93">
        <v>2.07E-2</v>
      </c>
      <c r="D15" s="93">
        <v>2.1499999999999998E-2</v>
      </c>
      <c r="F15" s="98" t="s">
        <v>25</v>
      </c>
      <c r="H15" s="313">
        <f t="shared" si="0"/>
        <v>8.5858585858585634E-2</v>
      </c>
      <c r="AHL15" s="1"/>
    </row>
    <row r="16" spans="1:896" x14ac:dyDescent="0.3">
      <c r="A16" s="92" t="s">
        <v>26</v>
      </c>
      <c r="B16" s="93">
        <v>3.0000000000000001E-3</v>
      </c>
      <c r="C16" s="93">
        <v>2.8999999999999998E-3</v>
      </c>
      <c r="D16" s="93">
        <v>2.8999999999999998E-3</v>
      </c>
      <c r="F16" s="103" t="s">
        <v>26</v>
      </c>
      <c r="H16" s="313">
        <f t="shared" si="0"/>
        <v>-3.3333333333333437E-2</v>
      </c>
      <c r="AHL16" s="1"/>
    </row>
    <row r="17" spans="1:950" x14ac:dyDescent="0.3">
      <c r="A17" s="92" t="s">
        <v>27</v>
      </c>
      <c r="B17" s="94">
        <v>6.88E-2</v>
      </c>
      <c r="C17" s="94">
        <v>6.4000000000000001E-2</v>
      </c>
      <c r="D17" s="94">
        <v>5.9499999999999997E-2</v>
      </c>
      <c r="F17" s="98" t="s">
        <v>27</v>
      </c>
      <c r="H17" s="313">
        <f t="shared" si="0"/>
        <v>-0.13517441860465118</v>
      </c>
      <c r="AHL17" s="1"/>
    </row>
    <row r="18" spans="1:950" s="9" customFormat="1" x14ac:dyDescent="0.3">
      <c r="A18" s="92" t="s">
        <v>28</v>
      </c>
      <c r="B18" s="93">
        <v>0.1004</v>
      </c>
      <c r="C18" s="93">
        <v>9.3399999999999997E-2</v>
      </c>
      <c r="D18" s="93">
        <v>8.5300000000000001E-2</v>
      </c>
      <c r="F18" s="98" t="s">
        <v>28</v>
      </c>
      <c r="H18" s="313">
        <f t="shared" si="0"/>
        <v>-0.15039840637450197</v>
      </c>
    </row>
    <row r="19" spans="1:950" s="1" customFormat="1" x14ac:dyDescent="0.3">
      <c r="A19" s="92" t="s">
        <v>29</v>
      </c>
      <c r="B19" s="93">
        <v>3.8E-3</v>
      </c>
      <c r="C19" s="93">
        <v>3.7000000000000002E-3</v>
      </c>
      <c r="D19" s="93">
        <v>3.5000000000000001E-3</v>
      </c>
      <c r="F19" s="103" t="s">
        <v>29</v>
      </c>
      <c r="H19" s="313">
        <f t="shared" si="0"/>
        <v>-7.8947368421052655E-2</v>
      </c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</row>
    <row r="20" spans="1:950" s="1" customFormat="1" x14ac:dyDescent="0.3">
      <c r="A20" s="92" t="s">
        <v>30</v>
      </c>
      <c r="B20" s="94">
        <v>4.07E-2</v>
      </c>
      <c r="C20" s="94">
        <v>4.3499999999999997E-2</v>
      </c>
      <c r="D20" s="94">
        <v>4.65E-2</v>
      </c>
      <c r="F20" s="98" t="s">
        <v>30</v>
      </c>
      <c r="H20" s="313">
        <f t="shared" si="0"/>
        <v>0.14250614250614246</v>
      </c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</row>
    <row r="21" spans="1:950" s="1" customFormat="1" x14ac:dyDescent="0.3">
      <c r="A21" s="92" t="s">
        <v>31</v>
      </c>
      <c r="B21" s="93">
        <v>1.6799999999999999E-2</v>
      </c>
      <c r="C21" s="93">
        <v>1.66E-2</v>
      </c>
      <c r="D21" s="93">
        <v>1.6299999999999999E-2</v>
      </c>
      <c r="F21" s="98" t="s">
        <v>31</v>
      </c>
      <c r="H21" s="313">
        <f t="shared" si="0"/>
        <v>-2.9761904761904767E-2</v>
      </c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</row>
    <row r="22" spans="1:950" s="1" customFormat="1" x14ac:dyDescent="0.3">
      <c r="A22" s="92" t="s">
        <v>32</v>
      </c>
      <c r="B22" s="93">
        <v>4.8999999999999998E-3</v>
      </c>
      <c r="C22" s="93">
        <v>4.7999999999999996E-3</v>
      </c>
      <c r="D22" s="93">
        <v>4.7000000000000002E-3</v>
      </c>
      <c r="F22" s="103" t="s">
        <v>32</v>
      </c>
      <c r="H22" s="313">
        <f t="shared" si="0"/>
        <v>-4.0816326530612179E-2</v>
      </c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</row>
    <row r="23" spans="1:950" s="1" customFormat="1" x14ac:dyDescent="0.3">
      <c r="A23" s="92" t="s">
        <v>33</v>
      </c>
      <c r="B23" s="93">
        <v>3.04E-2</v>
      </c>
      <c r="C23" s="93">
        <v>3.0700000000000002E-2</v>
      </c>
      <c r="D23" s="93">
        <v>3.1099999999999999E-2</v>
      </c>
      <c r="F23" s="98" t="s">
        <v>33</v>
      </c>
      <c r="H23" s="313">
        <f t="shared" si="0"/>
        <v>2.3026315789473673E-2</v>
      </c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</row>
    <row r="24" spans="1:950" s="1" customFormat="1" x14ac:dyDescent="0.3">
      <c r="A24" s="92" t="s">
        <v>128</v>
      </c>
      <c r="B24" s="93">
        <v>6.2799999999999995E-2</v>
      </c>
      <c r="C24" s="93">
        <v>6.1699999999999998E-2</v>
      </c>
      <c r="D24" s="93">
        <v>6.0499999999999998E-2</v>
      </c>
      <c r="F24" s="98" t="s">
        <v>128</v>
      </c>
      <c r="H24" s="313">
        <f t="shared" si="0"/>
        <v>-3.6624203821655987E-2</v>
      </c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</row>
    <row r="25" spans="1:950" s="1" customFormat="1" x14ac:dyDescent="0.3">
      <c r="A25" s="92" t="s">
        <v>35</v>
      </c>
      <c r="B25" s="93">
        <v>7.8600000000000003E-2</v>
      </c>
      <c r="C25" s="93">
        <v>7.6300000000000007E-2</v>
      </c>
      <c r="D25" s="93">
        <v>7.3800000000000004E-2</v>
      </c>
      <c r="F25" s="98" t="s">
        <v>35</v>
      </c>
      <c r="H25" s="313">
        <f t="shared" si="0"/>
        <v>-6.1068702290076327E-2</v>
      </c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</row>
    <row r="26" spans="1:950" x14ac:dyDescent="0.3">
      <c r="B26" s="97">
        <f>SUM(B5:B25)</f>
        <v>0.94569598548413913</v>
      </c>
      <c r="C26" s="97">
        <f t="shared" ref="C26:D26" si="1">SUM(C5:C25)</f>
        <v>0.93949598548413915</v>
      </c>
      <c r="D26" s="97">
        <f t="shared" si="1"/>
        <v>0.93199598548413909</v>
      </c>
      <c r="H26" s="313">
        <f>D26/B26-1</f>
        <v>-1.4486685161285151E-2</v>
      </c>
    </row>
    <row r="28" spans="1:950" x14ac:dyDescent="0.3">
      <c r="A28" s="104" t="s">
        <v>157</v>
      </c>
    </row>
    <row r="29" spans="1:950" x14ac:dyDescent="0.3">
      <c r="A29" s="104"/>
    </row>
    <row r="30" spans="1:950" x14ac:dyDescent="0.3">
      <c r="A30" s="104"/>
      <c r="B30" s="105" t="s">
        <v>170</v>
      </c>
      <c r="C30" s="105" t="s">
        <v>171</v>
      </c>
      <c r="D30" s="105" t="s">
        <v>172</v>
      </c>
    </row>
    <row r="31" spans="1:950" x14ac:dyDescent="0.3">
      <c r="A31" s="17" t="s">
        <v>154</v>
      </c>
      <c r="B31" s="111">
        <f>B5+SUM(B7:B11)+B13+B15+B17+B18+B20+B21+B23+B24+B25+B22</f>
        <v>0.875</v>
      </c>
      <c r="C31" s="111">
        <f t="shared" ref="C31:D31" si="2">C5+SUM(C7:C11)+C13+C15+C17+C18+C20+C21+C23+C24+C25+C22</f>
        <v>0.86809999999999998</v>
      </c>
      <c r="D31" s="111">
        <f t="shared" si="2"/>
        <v>0.85990000000000011</v>
      </c>
      <c r="E31" s="451"/>
      <c r="F31" s="451"/>
      <c r="G31" s="451"/>
    </row>
    <row r="32" spans="1:950" x14ac:dyDescent="0.3">
      <c r="A32" s="61" t="s">
        <v>158</v>
      </c>
      <c r="B32" s="111">
        <f>B5+SUM(B7:B13)+B15+B17+B18+B20+B21+B23+B24+B25</f>
        <v>0.89270000000000005</v>
      </c>
      <c r="C32" s="111">
        <f t="shared" ref="C32:D32" si="3">C5+SUM(C7:C13)+C15+C17+C18+C20+C21+C23+C24+C25</f>
        <v>0.88659999999999994</v>
      </c>
      <c r="D32" s="111">
        <f t="shared" si="3"/>
        <v>0.87909999999999999</v>
      </c>
      <c r="E32" s="451"/>
      <c r="F32" s="451"/>
      <c r="G32" s="451"/>
    </row>
    <row r="33" spans="1:7" ht="28.8" x14ac:dyDescent="0.3">
      <c r="A33" s="17" t="s">
        <v>159</v>
      </c>
      <c r="B33" s="111">
        <f>B5+SUM(B7:B13)+B15+B17+B18+B20+B21+B23+B24+B25</f>
        <v>0.89270000000000005</v>
      </c>
      <c r="C33" s="111">
        <f t="shared" ref="C33:D33" si="4">C5+SUM(C7:C13)+C15+C17+C18+C20+C21+C23+C24+C25</f>
        <v>0.88659999999999994</v>
      </c>
      <c r="D33" s="111">
        <f t="shared" si="4"/>
        <v>0.87909999999999999</v>
      </c>
      <c r="E33" s="451"/>
      <c r="F33" s="451"/>
      <c r="G33" s="451"/>
    </row>
    <row r="34" spans="1:7" x14ac:dyDescent="0.3">
      <c r="A34" s="61" t="s">
        <v>160</v>
      </c>
      <c r="B34" s="111">
        <f>B5+SUM(B7:B13)+B15+B17+B18+B20+B21+B23+B24+B25</f>
        <v>0.89270000000000005</v>
      </c>
      <c r="C34" s="111">
        <f t="shared" ref="C34:D34" si="5">C5+SUM(C7:C13)+C15+C17+C18+C20+C21+C23+C24+C25</f>
        <v>0.88659999999999994</v>
      </c>
      <c r="D34" s="111">
        <f t="shared" si="5"/>
        <v>0.87909999999999999</v>
      </c>
      <c r="E34" s="451"/>
      <c r="F34" s="451"/>
      <c r="G34" s="451"/>
    </row>
    <row r="35" spans="1:7" x14ac:dyDescent="0.3">
      <c r="A35" s="61" t="s">
        <v>161</v>
      </c>
      <c r="B35" s="111">
        <f>B5+SUM(B7:B13)+B15+B17+B18+B20+B21+B23+B24+B25</f>
        <v>0.89270000000000005</v>
      </c>
      <c r="C35" s="111">
        <f t="shared" ref="C35:D35" si="6">C5+SUM(C7:C13)+C15+C17+C18+C20+C21+C23+C24+C25</f>
        <v>0.88659999999999994</v>
      </c>
      <c r="D35" s="111">
        <f t="shared" si="6"/>
        <v>0.87909999999999999</v>
      </c>
      <c r="E35" s="451"/>
      <c r="F35" s="451"/>
      <c r="G35" s="451"/>
    </row>
    <row r="36" spans="1:7" x14ac:dyDescent="0.3">
      <c r="A36" s="61" t="s">
        <v>162</v>
      </c>
      <c r="B36" s="111">
        <f>B5+SUM(B7:B13)+B15+B17+B18+B20+B21+B23+B24+B25</f>
        <v>0.89270000000000005</v>
      </c>
      <c r="C36" s="111">
        <f t="shared" ref="C36:D36" si="7">C5+SUM(C7:C13)+C15+C17+C18+C20+C21+C23+C24+C25</f>
        <v>0.88659999999999994</v>
      </c>
      <c r="D36" s="111">
        <f t="shared" si="7"/>
        <v>0.87909999999999999</v>
      </c>
      <c r="E36" s="451"/>
      <c r="F36" s="451"/>
      <c r="G36" s="451"/>
    </row>
    <row r="37" spans="1:7" x14ac:dyDescent="0.3">
      <c r="A37" s="61" t="s">
        <v>13</v>
      </c>
      <c r="B37" s="111">
        <f>B5+SUM(B7:B13)+B15+B17+B18+B20+B21+B23+B24+B25</f>
        <v>0.89270000000000005</v>
      </c>
      <c r="C37" s="111">
        <f t="shared" ref="C37:D37" si="8">C5+SUM(C7:C13)+C15+C17+C18+C20+C21+C23+C24+C25</f>
        <v>0.88659999999999994</v>
      </c>
      <c r="D37" s="111">
        <f t="shared" si="8"/>
        <v>0.87909999999999999</v>
      </c>
      <c r="E37" s="451"/>
      <c r="F37" s="451"/>
      <c r="G37" s="451"/>
    </row>
    <row r="38" spans="1:7" x14ac:dyDescent="0.3">
      <c r="A38" s="61" t="s">
        <v>146</v>
      </c>
      <c r="B38" s="111">
        <f>B5+SUM(B7:B11)+B13+B15+B17+B18+B20+B21+B23+B24+B25</f>
        <v>0.87009999999999998</v>
      </c>
      <c r="C38" s="111">
        <f t="shared" ref="C38:D38" si="9">C5+SUM(C7:C11)+C13+C15+C17+C18+C20+C21+C23+C24+C25</f>
        <v>0.86329999999999996</v>
      </c>
      <c r="D38" s="111">
        <f t="shared" si="9"/>
        <v>0.85520000000000007</v>
      </c>
      <c r="E38" s="451"/>
      <c r="F38" s="451"/>
      <c r="G38" s="451"/>
    </row>
    <row r="39" spans="1:7" x14ac:dyDescent="0.3">
      <c r="A39" s="61" t="s">
        <v>147</v>
      </c>
      <c r="B39" s="111">
        <f>B5+SUM(B7:B11)+B13+B15+B17+B18+B20+B21+B23+B24+B25</f>
        <v>0.87009999999999998</v>
      </c>
      <c r="C39" s="111">
        <f t="shared" ref="C39:D39" si="10">C5+SUM(C7:C11)+C13+C15+C17+C18+C20+C21+C23+C24+C25</f>
        <v>0.86329999999999996</v>
      </c>
      <c r="D39" s="111">
        <f t="shared" si="10"/>
        <v>0.85520000000000007</v>
      </c>
      <c r="E39" s="451"/>
      <c r="F39" s="451"/>
      <c r="G39" s="451"/>
    </row>
    <row r="40" spans="1:7" x14ac:dyDescent="0.3">
      <c r="A40" s="61" t="s">
        <v>163</v>
      </c>
      <c r="B40" s="111">
        <f>B5+SUM(B7:B11)+B15+B17+B18+B20+B21+B23+B24+B25</f>
        <v>0.72560000000000002</v>
      </c>
      <c r="C40" s="111">
        <f t="shared" ref="C40:D40" si="11">C5+SUM(C7:C11)+C15+C17+C18+C20+C21+C23+C24+C25</f>
        <v>0.71619999999999995</v>
      </c>
      <c r="D40" s="111">
        <f t="shared" si="11"/>
        <v>0.70569999999999999</v>
      </c>
      <c r="E40" s="451"/>
      <c r="F40" s="451"/>
      <c r="G40" s="451"/>
    </row>
    <row r="41" spans="1:7" x14ac:dyDescent="0.3">
      <c r="A41" s="61" t="s">
        <v>164</v>
      </c>
      <c r="B41" s="111">
        <f>B5+SUM(B7:B11)+B13+B15+B17+B18+B20+B21+B23+B24+B25</f>
        <v>0.87009999999999998</v>
      </c>
      <c r="C41" s="111">
        <f t="shared" ref="C41:D41" si="12">C5+SUM(C7:C11)+C13+C15+C17+C18+C20+C21+C23+C24+C25</f>
        <v>0.86329999999999996</v>
      </c>
      <c r="D41" s="111">
        <f t="shared" si="12"/>
        <v>0.85520000000000007</v>
      </c>
      <c r="E41" s="451"/>
      <c r="F41" s="451"/>
      <c r="G41" s="451"/>
    </row>
    <row r="42" spans="1:7" x14ac:dyDescent="0.3">
      <c r="A42" s="61" t="s">
        <v>45</v>
      </c>
      <c r="B42" s="111">
        <f>B5+SUM(B7:B11)+B15+B17+B18+B20+B21+B23+B24+B25</f>
        <v>0.72560000000000002</v>
      </c>
      <c r="C42" s="111">
        <f t="shared" ref="C42:D42" si="13">C5+SUM(C7:C11)+C15+C17+C18+C20+C21+C23+C24+C25</f>
        <v>0.71619999999999995</v>
      </c>
      <c r="D42" s="111">
        <f t="shared" si="13"/>
        <v>0.70569999999999999</v>
      </c>
      <c r="E42" s="451"/>
      <c r="F42" s="451"/>
      <c r="G42" s="451"/>
    </row>
    <row r="43" spans="1:7" x14ac:dyDescent="0.3">
      <c r="A43" s="61" t="s">
        <v>165</v>
      </c>
      <c r="B43" s="111">
        <f>B5+B9+B10+B13+B17+B23+B24+B25</f>
        <v>0.65039999999999987</v>
      </c>
      <c r="C43" s="111">
        <f t="shared" ref="C43:D43" si="14">C5+C9+C10+C13+C17+C23+C24+C25</f>
        <v>0.64580000000000004</v>
      </c>
      <c r="D43" s="111">
        <f t="shared" si="14"/>
        <v>0.64129999999999998</v>
      </c>
      <c r="E43" s="451"/>
      <c r="F43" s="451"/>
      <c r="G43" s="451"/>
    </row>
    <row r="44" spans="1:7" x14ac:dyDescent="0.3">
      <c r="A44" s="61" t="s">
        <v>12</v>
      </c>
      <c r="B44" s="111">
        <f>B5+SUM(B7:B25)</f>
        <v>0.91270000000000007</v>
      </c>
      <c r="C44" s="111">
        <f t="shared" ref="C44:D44" si="15">C5+SUM(C7:C25)</f>
        <v>0.90649999999999997</v>
      </c>
      <c r="D44" s="111">
        <f t="shared" si="15"/>
        <v>0.89899999999999991</v>
      </c>
      <c r="E44" s="451"/>
      <c r="F44" s="451"/>
      <c r="G44" s="451"/>
    </row>
    <row r="45" spans="1:7" x14ac:dyDescent="0.3">
      <c r="A45" s="61" t="s">
        <v>166</v>
      </c>
      <c r="B45" s="111">
        <f>B5+SUM(B7:B18)+SUM(B20:B25)</f>
        <v>0.90890000000000004</v>
      </c>
      <c r="C45" s="111">
        <f>C5+SUM(C7:C18)+SUM(C20:C25)</f>
        <v>0.90280000000000005</v>
      </c>
      <c r="D45" s="111">
        <f>D5+SUM(D7:D18)+SUM(D20:D25)</f>
        <v>0.89549999999999996</v>
      </c>
      <c r="E45" s="451"/>
      <c r="F45" s="451"/>
      <c r="G45" s="451"/>
    </row>
    <row r="46" spans="1:7" x14ac:dyDescent="0.3">
      <c r="A46" s="61" t="s">
        <v>167</v>
      </c>
      <c r="B46" s="111">
        <f>B5+SUM(B7:B25)</f>
        <v>0.91270000000000007</v>
      </c>
      <c r="C46" s="111">
        <f>C5+SUM(C7:C25)</f>
        <v>0.90649999999999997</v>
      </c>
      <c r="D46" s="111">
        <f t="shared" ref="D46" si="16">D5+SUM(D7:D25)</f>
        <v>0.89899999999999991</v>
      </c>
      <c r="E46" s="451"/>
      <c r="F46" s="451"/>
      <c r="G46" s="451"/>
    </row>
    <row r="47" spans="1:7" x14ac:dyDescent="0.3">
      <c r="A47" s="61" t="s">
        <v>133</v>
      </c>
      <c r="B47" s="111">
        <f>B5+SUM(B7:B25)</f>
        <v>0.91270000000000007</v>
      </c>
      <c r="C47" s="111">
        <f t="shared" ref="C47:D47" si="17">C5+SUM(C7:C25)</f>
        <v>0.90649999999999997</v>
      </c>
      <c r="D47" s="111">
        <f t="shared" si="17"/>
        <v>0.89899999999999991</v>
      </c>
      <c r="E47" s="451"/>
      <c r="F47" s="451"/>
      <c r="G47" s="451"/>
    </row>
    <row r="48" spans="1:7" x14ac:dyDescent="0.3">
      <c r="A48" s="61" t="s">
        <v>168</v>
      </c>
      <c r="B48" s="111">
        <f>B5+B9+B10+B13+B16+B17+B22+B23+B24+B25</f>
        <v>0.65829999999999989</v>
      </c>
      <c r="C48" s="111">
        <f t="shared" ref="C48:D48" si="18">C5+C9+C10+C13+C16+C17+C22+C23+C24+C25</f>
        <v>0.65350000000000008</v>
      </c>
      <c r="D48" s="111">
        <f t="shared" si="18"/>
        <v>0.64889999999999992</v>
      </c>
      <c r="E48" s="451"/>
      <c r="F48" s="451"/>
      <c r="G48" s="451"/>
    </row>
    <row r="49" spans="1:7" x14ac:dyDescent="0.3">
      <c r="A49" s="61" t="s">
        <v>169</v>
      </c>
      <c r="B49" s="111">
        <f>B5+B7+B8+B9+B10+B11+B14+B15+B16+B17+B18+B20+B21+B22+B23+B24+B25</f>
        <v>0.74180000000000001</v>
      </c>
      <c r="C49" s="111">
        <f t="shared" ref="C49:D49" si="19">C5+C7+C8+C9+C10+C11+C14+C15+C16+C17+C18+C20+C21+C22+C23+C24+C25</f>
        <v>0.73239999999999994</v>
      </c>
      <c r="D49" s="111">
        <f t="shared" si="19"/>
        <v>0.72209999999999996</v>
      </c>
      <c r="E49" s="451"/>
      <c r="F49" s="451"/>
      <c r="G49" s="451"/>
    </row>
    <row r="50" spans="1:7" x14ac:dyDescent="0.3">
      <c r="A50" s="61" t="s">
        <v>43</v>
      </c>
      <c r="B50" s="111">
        <f>B5+SUM(B7:B25)</f>
        <v>0.91270000000000007</v>
      </c>
      <c r="C50" s="111">
        <f t="shared" ref="C50:D50" si="20">C5+SUM(C7:C25)</f>
        <v>0.90649999999999997</v>
      </c>
      <c r="D50" s="111">
        <f t="shared" si="20"/>
        <v>0.89899999999999991</v>
      </c>
      <c r="E50" s="451"/>
      <c r="F50" s="451"/>
      <c r="G50" s="451"/>
    </row>
    <row r="51" spans="1:7" x14ac:dyDescent="0.3">
      <c r="A51" s="61" t="s">
        <v>187</v>
      </c>
      <c r="B51" s="111">
        <f>B5+SUM(B7:B25)</f>
        <v>0.91270000000000007</v>
      </c>
      <c r="C51" s="111">
        <f t="shared" ref="C51:D51" si="21">C5+SUM(C7:C25)</f>
        <v>0.90649999999999997</v>
      </c>
      <c r="D51" s="111">
        <f t="shared" si="21"/>
        <v>0.89899999999999991</v>
      </c>
      <c r="E51" s="451"/>
      <c r="F51" s="451"/>
      <c r="G51" s="451"/>
    </row>
    <row r="52" spans="1:7" x14ac:dyDescent="0.3">
      <c r="A52" s="61" t="s">
        <v>188</v>
      </c>
      <c r="B52" s="111">
        <f>B5+SUM(B7:B25)</f>
        <v>0.91270000000000007</v>
      </c>
      <c r="C52" s="111">
        <f t="shared" ref="C52:D52" si="22">C5+SUM(C7:C25)</f>
        <v>0.90649999999999997</v>
      </c>
      <c r="D52" s="111">
        <f t="shared" si="22"/>
        <v>0.89899999999999991</v>
      </c>
      <c r="E52" s="451"/>
      <c r="F52" s="451"/>
      <c r="G52" s="451"/>
    </row>
    <row r="53" spans="1:7" x14ac:dyDescent="0.3">
      <c r="A53" s="61" t="s">
        <v>218</v>
      </c>
      <c r="B53" s="111">
        <f>B5+SUM(B7:B25)</f>
        <v>0.91270000000000007</v>
      </c>
      <c r="C53" s="111">
        <f t="shared" ref="C53:D53" si="23">C5+SUM(C7:C25)</f>
        <v>0.90649999999999997</v>
      </c>
      <c r="D53" s="111">
        <f t="shared" si="23"/>
        <v>0.89899999999999991</v>
      </c>
      <c r="E53" s="451"/>
      <c r="F53" s="451"/>
      <c r="G53" s="451"/>
    </row>
    <row r="54" spans="1:7" x14ac:dyDescent="0.3">
      <c r="A54" s="61" t="s">
        <v>222</v>
      </c>
      <c r="B54" s="111">
        <f>B5+SUM(B7:B25)</f>
        <v>0.91270000000000007</v>
      </c>
      <c r="C54" s="111">
        <f t="shared" ref="C54:D54" si="24">C5+SUM(C7:C25)</f>
        <v>0.90649999999999997</v>
      </c>
      <c r="D54" s="111">
        <f t="shared" si="24"/>
        <v>0.89899999999999991</v>
      </c>
      <c r="E54" s="451"/>
      <c r="F54" s="451"/>
      <c r="G54" s="451"/>
    </row>
    <row r="55" spans="1:7" x14ac:dyDescent="0.3">
      <c r="A55" s="61" t="s">
        <v>223</v>
      </c>
      <c r="B55" s="111">
        <f>B5+SUM(B7:B11)+B13+B15+B17+B18+B20+B21+B23+B24+B25</f>
        <v>0.87009999999999998</v>
      </c>
      <c r="C55" s="111">
        <f t="shared" ref="C55:D55" si="25">C5+SUM(C7:C11)+C13+C15+C17+C18+C20+C21+C23+C24+C25</f>
        <v>0.86329999999999996</v>
      </c>
      <c r="D55" s="111">
        <f t="shared" si="25"/>
        <v>0.85520000000000007</v>
      </c>
      <c r="E55" s="451"/>
      <c r="F55" s="451"/>
      <c r="G55" s="451"/>
    </row>
    <row r="56" spans="1:7" x14ac:dyDescent="0.3">
      <c r="A56" s="61" t="s">
        <v>224</v>
      </c>
      <c r="B56" s="111">
        <f>B5+SUM(B7:B25)</f>
        <v>0.91270000000000007</v>
      </c>
      <c r="C56" s="111">
        <f t="shared" ref="C56:D56" si="26">C5+SUM(C7:C25)</f>
        <v>0.90649999999999997</v>
      </c>
      <c r="D56" s="111">
        <f t="shared" si="26"/>
        <v>0.89899999999999991</v>
      </c>
      <c r="E56" s="451"/>
      <c r="F56" s="451"/>
      <c r="G56" s="451"/>
    </row>
  </sheetData>
  <conditionalFormatting sqref="H5:H2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51180555555555496" footer="0.51180555555555496"/>
  <pageSetup paperSize="9" scale="77" firstPageNumber="0" fitToHeight="0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6D8A-6C8A-4484-AAD4-6FF98FAC8D7F}">
  <dimension ref="A1:C9"/>
  <sheetViews>
    <sheetView workbookViewId="0">
      <selection activeCell="G28" sqref="G28"/>
    </sheetView>
  </sheetViews>
  <sheetFormatPr baseColWidth="10" defaultRowHeight="14.4" x14ac:dyDescent="0.3"/>
  <cols>
    <col min="1" max="1" width="25.109375" bestFit="1" customWidth="1"/>
  </cols>
  <sheetData>
    <row r="1" spans="1:3" x14ac:dyDescent="0.3">
      <c r="A1" t="s">
        <v>276</v>
      </c>
    </row>
    <row r="2" spans="1:3" x14ac:dyDescent="0.3">
      <c r="A2" t="s">
        <v>273</v>
      </c>
      <c r="B2" t="s">
        <v>274</v>
      </c>
      <c r="C2" t="s">
        <v>275</v>
      </c>
    </row>
    <row r="3" spans="1:3" x14ac:dyDescent="0.3">
      <c r="A3" t="s">
        <v>271</v>
      </c>
      <c r="B3">
        <v>2798</v>
      </c>
    </row>
    <row r="4" spans="1:3" x14ac:dyDescent="0.3">
      <c r="A4" t="s">
        <v>272</v>
      </c>
      <c r="B4">
        <v>2864</v>
      </c>
      <c r="C4" s="275">
        <f>B4/B3</f>
        <v>1.0235882773409579</v>
      </c>
    </row>
    <row r="6" spans="1:3" x14ac:dyDescent="0.3">
      <c r="A6" t="s">
        <v>277</v>
      </c>
    </row>
    <row r="7" spans="1:3" x14ac:dyDescent="0.3">
      <c r="A7" t="s">
        <v>273</v>
      </c>
      <c r="B7" t="s">
        <v>274</v>
      </c>
      <c r="C7" t="s">
        <v>275</v>
      </c>
    </row>
    <row r="8" spans="1:3" x14ac:dyDescent="0.3">
      <c r="A8" s="285">
        <v>44470</v>
      </c>
      <c r="B8">
        <v>2800</v>
      </c>
    </row>
    <row r="9" spans="1:3" x14ac:dyDescent="0.3">
      <c r="A9" t="s">
        <v>272</v>
      </c>
      <c r="B9">
        <v>2864</v>
      </c>
      <c r="C9" s="275">
        <f>B9/B8</f>
        <v>1.0228571428571429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AL736"/>
  <sheetViews>
    <sheetView view="pageBreakPreview" zoomScaleNormal="100" zoomScaleSheetLayoutView="100" workbookViewId="0">
      <pane xSplit="1" topLeftCell="C1" activePane="topRight" state="frozen"/>
      <selection pane="topRight" activeCell="P21" sqref="P21"/>
    </sheetView>
  </sheetViews>
  <sheetFormatPr baseColWidth="10" defaultColWidth="9.5546875" defaultRowHeight="11.4" x14ac:dyDescent="0.2"/>
  <cols>
    <col min="1" max="1" width="28" style="67" customWidth="1"/>
    <col min="2" max="2" width="10.21875" style="76" customWidth="1"/>
    <col min="3" max="12" width="10.21875" style="71" customWidth="1"/>
    <col min="13" max="13" width="1.6640625" style="71" customWidth="1"/>
    <col min="14" max="16" width="9.88671875" style="67" customWidth="1"/>
    <col min="17" max="17" width="9.88671875" style="72" customWidth="1"/>
    <col min="18" max="18" width="9.88671875" style="68" customWidth="1"/>
    <col min="19" max="24" width="9.88671875" style="67" customWidth="1"/>
    <col min="25" max="25" width="13.109375" style="67" customWidth="1"/>
    <col min="26" max="26" width="1.6640625" style="71" customWidth="1"/>
    <col min="27" max="28" width="13.109375" style="71" customWidth="1"/>
    <col min="29" max="29" width="1.6640625" style="71" customWidth="1"/>
    <col min="30" max="30" width="14.44140625" style="76" customWidth="1"/>
    <col min="31" max="31" width="14.109375" style="76" customWidth="1"/>
    <col min="32" max="32" width="1.6640625" style="71" customWidth="1"/>
    <col min="33" max="34" width="13.109375" style="76" customWidth="1"/>
    <col min="35" max="35" width="1.6640625" style="71" customWidth="1"/>
    <col min="36" max="16384" width="9.5546875" style="67"/>
  </cols>
  <sheetData>
    <row r="1" spans="1:36" ht="12" thickBot="1" x14ac:dyDescent="0.25">
      <c r="AD1" s="71"/>
      <c r="AE1" s="71"/>
      <c r="AG1" s="71"/>
      <c r="AH1" s="71"/>
    </row>
    <row r="2" spans="1:36" ht="48" customHeight="1" thickBot="1" x14ac:dyDescent="0.25">
      <c r="A2" s="175" t="s">
        <v>227</v>
      </c>
      <c r="B2" s="137" t="s">
        <v>41</v>
      </c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203"/>
      <c r="N2" s="208" t="s">
        <v>42</v>
      </c>
      <c r="O2" s="209"/>
      <c r="P2" s="209"/>
      <c r="Q2" s="209"/>
      <c r="R2" s="209"/>
      <c r="S2" s="209"/>
      <c r="T2" s="209"/>
      <c r="U2" s="209"/>
      <c r="V2" s="209"/>
      <c r="W2" s="210"/>
      <c r="X2" s="211"/>
      <c r="Y2" s="213"/>
      <c r="Z2" s="203"/>
      <c r="AA2" s="453" t="s">
        <v>228</v>
      </c>
      <c r="AB2" s="454"/>
      <c r="AC2" s="203"/>
      <c r="AD2" s="137" t="s">
        <v>229</v>
      </c>
      <c r="AE2" s="139"/>
      <c r="AF2" s="203"/>
      <c r="AG2" s="137" t="s">
        <v>234</v>
      </c>
      <c r="AH2" s="139"/>
      <c r="AI2" s="203"/>
    </row>
    <row r="3" spans="1:36" ht="44.25" customHeight="1" x14ac:dyDescent="0.2">
      <c r="A3" s="174" t="s">
        <v>40</v>
      </c>
      <c r="B3" s="191" t="s">
        <v>304</v>
      </c>
      <c r="C3" s="192" t="s">
        <v>305</v>
      </c>
      <c r="D3" s="193" t="s">
        <v>306</v>
      </c>
      <c r="E3" s="193" t="s">
        <v>166</v>
      </c>
      <c r="F3" s="193" t="s">
        <v>11</v>
      </c>
      <c r="G3" s="193" t="s">
        <v>12</v>
      </c>
      <c r="H3" s="135" t="s">
        <v>43</v>
      </c>
      <c r="I3" s="135" t="s">
        <v>188</v>
      </c>
      <c r="J3" s="140" t="s">
        <v>225</v>
      </c>
      <c r="K3" s="140" t="s">
        <v>226</v>
      </c>
      <c r="L3" s="136" t="s">
        <v>44</v>
      </c>
      <c r="M3" s="200"/>
      <c r="N3" s="204" t="s">
        <v>308</v>
      </c>
      <c r="O3" s="205" t="s">
        <v>309</v>
      </c>
      <c r="P3" s="205" t="s">
        <v>310</v>
      </c>
      <c r="Q3" s="205" t="s">
        <v>311</v>
      </c>
      <c r="R3" s="205" t="s">
        <v>312</v>
      </c>
      <c r="S3" s="205" t="s">
        <v>262</v>
      </c>
      <c r="T3" s="205" t="s">
        <v>13</v>
      </c>
      <c r="U3" s="205" t="s">
        <v>46</v>
      </c>
      <c r="V3" s="205" t="s">
        <v>47</v>
      </c>
      <c r="W3" s="206" t="s">
        <v>223</v>
      </c>
      <c r="X3" s="207" t="s">
        <v>48</v>
      </c>
      <c r="Y3" s="214" t="s">
        <v>186</v>
      </c>
      <c r="Z3" s="200"/>
      <c r="AA3" s="227" t="s">
        <v>230</v>
      </c>
      <c r="AB3" s="228" t="s">
        <v>231</v>
      </c>
      <c r="AC3" s="200"/>
      <c r="AD3" s="227" t="s">
        <v>230</v>
      </c>
      <c r="AE3" s="228" t="s">
        <v>231</v>
      </c>
      <c r="AF3" s="200"/>
      <c r="AG3" s="227" t="s">
        <v>232</v>
      </c>
      <c r="AH3" s="228" t="s">
        <v>233</v>
      </c>
      <c r="AI3" s="200"/>
    </row>
    <row r="4" spans="1:36" ht="14.25" customHeight="1" x14ac:dyDescent="0.3">
      <c r="A4" s="173" t="s">
        <v>49</v>
      </c>
      <c r="B4" s="141">
        <f>'IRI FR VT'!B7</f>
        <v>24791.582562093783</v>
      </c>
      <c r="C4" s="142">
        <f>'IRI FR EFF'!B7</f>
        <v>1849.7824031483844</v>
      </c>
      <c r="D4" s="143">
        <f>KANTAR!B7</f>
        <v>4869.4318808604521</v>
      </c>
      <c r="E4" s="144">
        <f>'Panel CHR'!B7</f>
        <v>2048.6264953478067</v>
      </c>
      <c r="F4" s="143">
        <f>'RO CHR'!B7</f>
        <v>0</v>
      </c>
      <c r="G4" s="143">
        <f>'RO Cavistes'!B7</f>
        <v>0</v>
      </c>
      <c r="H4" s="143">
        <f>'RO e-commerce'!B7</f>
        <v>944.56701599558755</v>
      </c>
      <c r="I4" s="143">
        <f>'Etude quinquennale '!B7</f>
        <v>0</v>
      </c>
      <c r="J4" s="145">
        <f>'OUTIL RO'!B7</f>
        <v>1586.8725868725869</v>
      </c>
      <c r="K4" s="145">
        <f>CAVISTES!B7</f>
        <v>680.08825151682299</v>
      </c>
      <c r="L4" s="146">
        <f t="shared" ref="L4:L28" si="0">SUM(B4:K4)</f>
        <v>36770.95119583542</v>
      </c>
      <c r="M4" s="201"/>
      <c r="N4" s="202">
        <f>'IRI UK VT'!B7</f>
        <v>3764.7542539960027</v>
      </c>
      <c r="O4" s="147">
        <f>'IRI UK VE'!B7</f>
        <v>927.70430323300866</v>
      </c>
      <c r="P4" s="144">
        <f>'IRI All'!B7</f>
        <v>2323.153288737707</v>
      </c>
      <c r="Q4" s="144">
        <f>'IRI PB'!B7</f>
        <v>3157.8541580045112</v>
      </c>
      <c r="R4" s="143">
        <f>'GfK BE'!B7</f>
        <v>1666.6004336800618</v>
      </c>
      <c r="S4" s="143">
        <f>'AGREX All'!B7</f>
        <v>357.06011815127999</v>
      </c>
      <c r="T4" s="143">
        <f>GTI!B7</f>
        <v>973.49424768779602</v>
      </c>
      <c r="U4" s="143">
        <f>'DETAIL MONOPOLES'!B7</f>
        <v>724.55786149334529</v>
      </c>
      <c r="V4" s="143">
        <f>'WINE INTELLIGENCE'!B7</f>
        <v>6296.8552010137082</v>
      </c>
      <c r="W4" s="145">
        <f>'Etude USA'!B7</f>
        <v>1428.24047260512</v>
      </c>
      <c r="X4" s="146">
        <f>SUM(N4:W4)</f>
        <v>21620.274338602543</v>
      </c>
      <c r="Y4" s="218">
        <f>Y$25*'ANNEXE 1 Grille'!B5/'ANNEXE 1 Grille'!B$51</f>
        <v>911.58102333735064</v>
      </c>
      <c r="Z4" s="212"/>
      <c r="AA4" s="215">
        <f t="shared" ref="AA4:AA25" si="1">L4+X4+Y4</f>
        <v>59302.806557775315</v>
      </c>
      <c r="AB4" s="225">
        <f>AA4-Y4</f>
        <v>58391.225534437966</v>
      </c>
      <c r="AC4" s="212"/>
      <c r="AD4" s="215">
        <v>55221.009815990794</v>
      </c>
      <c r="AE4" s="225">
        <v>54309.428792653445</v>
      </c>
      <c r="AF4" s="212"/>
      <c r="AG4" s="230">
        <f>(AA4-AD4)/AD4</f>
        <v>7.3917459231296459E-2</v>
      </c>
      <c r="AH4" s="216">
        <f>AA4-AD4</f>
        <v>4081.7967417845211</v>
      </c>
      <c r="AI4" s="212"/>
      <c r="AJ4" s="67" t="b">
        <f t="shared" ref="AJ4:AJ28" si="2">X4+L4+Y4=AA4</f>
        <v>1</v>
      </c>
    </row>
    <row r="5" spans="1:36" ht="13.8" x14ac:dyDescent="0.3">
      <c r="A5" s="173" t="s">
        <v>50</v>
      </c>
      <c r="B5" s="149">
        <f>'IRI FR VT'!B8</f>
        <v>0</v>
      </c>
      <c r="C5" s="150">
        <f>'IRI FR EFF'!B8</f>
        <v>0</v>
      </c>
      <c r="D5" s="151">
        <f>KANTAR!B8</f>
        <v>0</v>
      </c>
      <c r="E5" s="152">
        <f>'Panel CHR'!B8</f>
        <v>0</v>
      </c>
      <c r="F5" s="152">
        <f>'RO CHR'!B8</f>
        <v>0</v>
      </c>
      <c r="G5" s="151">
        <f>'RO Cavistes'!B8</f>
        <v>0</v>
      </c>
      <c r="H5" s="151">
        <f>'RO e-commerce'!B8</f>
        <v>0</v>
      </c>
      <c r="I5" s="151">
        <f>'Etude quinquennale '!B8</f>
        <v>0</v>
      </c>
      <c r="J5" s="151">
        <f>'OUTIL RO'!B8</f>
        <v>0</v>
      </c>
      <c r="K5" s="151">
        <f>CAVISTES!B8</f>
        <v>0</v>
      </c>
      <c r="L5" s="153">
        <f t="shared" si="0"/>
        <v>0</v>
      </c>
      <c r="M5" s="201"/>
      <c r="N5" s="194">
        <f>'IRI UK VT'!B8</f>
        <v>0</v>
      </c>
      <c r="O5" s="194">
        <f>'IRI UK VE'!B8</f>
        <v>0</v>
      </c>
      <c r="P5" s="152">
        <f>'IRI All'!B8</f>
        <v>0</v>
      </c>
      <c r="Q5" s="152">
        <f>'IRI PB'!B8</f>
        <v>0</v>
      </c>
      <c r="R5" s="151">
        <f>'GfK BE'!B8</f>
        <v>0</v>
      </c>
      <c r="S5" s="151">
        <f>'AGREX All'!B8</f>
        <v>0</v>
      </c>
      <c r="T5" s="151">
        <f>GTI!B8</f>
        <v>0</v>
      </c>
      <c r="U5" s="151">
        <f>'DETAIL MONOPOLES'!B8</f>
        <v>0</v>
      </c>
      <c r="V5" s="151">
        <f>'WINE INTELLIGENCE'!B8</f>
        <v>0</v>
      </c>
      <c r="W5" s="151">
        <f>'Etude USA'!B8</f>
        <v>0</v>
      </c>
      <c r="X5" s="146">
        <f t="shared" ref="X5:X24" si="3">SUM(N5:W5)</f>
        <v>0</v>
      </c>
      <c r="Y5" s="219">
        <v>0</v>
      </c>
      <c r="Z5" s="212"/>
      <c r="AA5" s="215">
        <f t="shared" si="1"/>
        <v>0</v>
      </c>
      <c r="AB5" s="225">
        <f t="shared" ref="AB5:AB28" si="4">AA5-Y5</f>
        <v>0</v>
      </c>
      <c r="AC5" s="212"/>
      <c r="AD5" s="215">
        <v>0</v>
      </c>
      <c r="AE5" s="225">
        <v>0</v>
      </c>
      <c r="AF5" s="212"/>
      <c r="AG5" s="230">
        <v>0</v>
      </c>
      <c r="AH5" s="216">
        <f t="shared" ref="AH5:AH28" si="5">AA5-AD5</f>
        <v>0</v>
      </c>
      <c r="AI5" s="212"/>
      <c r="AJ5" s="67" t="b">
        <f t="shared" si="2"/>
        <v>1</v>
      </c>
    </row>
    <row r="6" spans="1:36" ht="13.8" x14ac:dyDescent="0.3">
      <c r="A6" s="173" t="s">
        <v>51</v>
      </c>
      <c r="B6" s="141">
        <f>'IRI FR VT'!B9</f>
        <v>15622.919424774429</v>
      </c>
      <c r="C6" s="150">
        <f>'IRI FR EFF'!B9</f>
        <v>0</v>
      </c>
      <c r="D6" s="143">
        <f>KANTAR!B9</f>
        <v>3068.5714285714284</v>
      </c>
      <c r="E6" s="144">
        <f>'Panel CHR'!B9</f>
        <v>1290.983606557377</v>
      </c>
      <c r="F6" s="143">
        <f>'RO CHR'!B9</f>
        <v>0</v>
      </c>
      <c r="G6" s="143">
        <f>'RO Cavistes'!B9</f>
        <v>0</v>
      </c>
      <c r="H6" s="143">
        <f>'RO e-commerce'!B9</f>
        <v>595.2380952380953</v>
      </c>
      <c r="I6" s="143">
        <f>'Etude quinquennale '!B9</f>
        <v>0</v>
      </c>
      <c r="J6" s="145">
        <f>'OUTIL RO'!B9</f>
        <v>1000</v>
      </c>
      <c r="K6" s="145">
        <f>CAVISTES!B9</f>
        <v>428.57142857142856</v>
      </c>
      <c r="L6" s="146">
        <f t="shared" si="0"/>
        <v>22006.283983712758</v>
      </c>
      <c r="M6" s="201"/>
      <c r="N6" s="147">
        <f>'IRI UK VT'!B9</f>
        <v>2372.4363790388438</v>
      </c>
      <c r="O6" s="194">
        <f>'IRI UK VE'!B9</f>
        <v>0</v>
      </c>
      <c r="P6" s="144">
        <f>'IRI All'!B9</f>
        <v>1463.9822427811828</v>
      </c>
      <c r="Q6" s="144">
        <f>'IRI PB'!B9</f>
        <v>1989.9859535843514</v>
      </c>
      <c r="R6" s="147">
        <f>'GfK BE'!B9</f>
        <v>1050.2421224407201</v>
      </c>
      <c r="S6" s="143">
        <f>'AGREX All'!B9</f>
        <v>225.0086875941156</v>
      </c>
      <c r="T6" s="147">
        <f>GTI!B9</f>
        <v>613.46717798330701</v>
      </c>
      <c r="U6" s="147">
        <f>'DETAIL MONOPOLES'!B9</f>
        <v>456.59485675614712</v>
      </c>
      <c r="V6" s="147">
        <f>'WINE INTELLIGENCE'!B9</f>
        <v>3968.0912337288332</v>
      </c>
      <c r="W6" s="145">
        <f>'Etude USA'!B9</f>
        <v>900.0347503764624</v>
      </c>
      <c r="X6" s="146">
        <f t="shared" si="3"/>
        <v>13039.843404283964</v>
      </c>
      <c r="Y6" s="218">
        <f>Y$25*'ANNEXE 1 Grille'!B7/'ANNEXE 1 Grille'!B$51</f>
        <v>556.59033636463232</v>
      </c>
      <c r="Z6" s="212"/>
      <c r="AA6" s="215">
        <f t="shared" si="1"/>
        <v>35602.717724361355</v>
      </c>
      <c r="AB6" s="225">
        <f t="shared" si="4"/>
        <v>35046.127387996719</v>
      </c>
      <c r="AC6" s="212"/>
      <c r="AD6" s="215">
        <v>32051.835006244193</v>
      </c>
      <c r="AE6" s="225">
        <v>31495.244669879561</v>
      </c>
      <c r="AF6" s="212"/>
      <c r="AG6" s="230">
        <f t="shared" ref="AG6:AG28" si="6">(AA6-AD6)/AD6</f>
        <v>0.11078562950999202</v>
      </c>
      <c r="AH6" s="216">
        <f t="shared" si="5"/>
        <v>3550.8827181171619</v>
      </c>
      <c r="AI6" s="212"/>
      <c r="AJ6" s="67" t="b">
        <f t="shared" si="2"/>
        <v>1</v>
      </c>
    </row>
    <row r="7" spans="1:36" ht="13.8" x14ac:dyDescent="0.3">
      <c r="A7" s="173" t="s">
        <v>52</v>
      </c>
      <c r="B7" s="141">
        <f>'IRI FR VT'!B10</f>
        <v>8022.5802451544359</v>
      </c>
      <c r="C7" s="150">
        <f>'IRI FR EFF'!B10</f>
        <v>0</v>
      </c>
      <c r="D7" s="143">
        <f>KANTAR!B10</f>
        <v>1575.7528957528957</v>
      </c>
      <c r="E7" s="144">
        <f>'Panel CHR'!B10</f>
        <v>662.93752769162597</v>
      </c>
      <c r="F7" s="143">
        <f>'RO CHR'!B10</f>
        <v>0</v>
      </c>
      <c r="G7" s="143">
        <f>'RO Cavistes'!B10</f>
        <v>0</v>
      </c>
      <c r="H7" s="143">
        <f>'RO e-commerce'!B10</f>
        <v>305.66280566280568</v>
      </c>
      <c r="I7" s="143">
        <f>'Etude quinquennale '!B10</f>
        <v>0</v>
      </c>
      <c r="J7" s="145">
        <f>'OUTIL RO'!B10</f>
        <v>513.51351351351354</v>
      </c>
      <c r="K7" s="145">
        <f>CAVISTES!B10</f>
        <v>220.07722007722006</v>
      </c>
      <c r="L7" s="146">
        <f t="shared" si="0"/>
        <v>11300.524207852497</v>
      </c>
      <c r="M7" s="201"/>
      <c r="N7" s="147">
        <f>'IRI UK VT'!B10</f>
        <v>1218.2781405875141</v>
      </c>
      <c r="O7" s="194">
        <f>'IRI UK VE'!B10</f>
        <v>0</v>
      </c>
      <c r="P7" s="144">
        <f>'IRI All'!B10</f>
        <v>751.77466521195868</v>
      </c>
      <c r="Q7" s="144">
        <f>'IRI PB'!B10</f>
        <v>1021.8846788676398</v>
      </c>
      <c r="R7" s="147">
        <f>'GfK BE'!B10</f>
        <v>539.31352233442385</v>
      </c>
      <c r="S7" s="143">
        <f>'AGREX All'!B10</f>
        <v>115.54500173751882</v>
      </c>
      <c r="T7" s="147">
        <f>GTI!B10</f>
        <v>315.02368599142795</v>
      </c>
      <c r="U7" s="147">
        <f>'DETAIL MONOPOLES'!B10</f>
        <v>234.46762914504848</v>
      </c>
      <c r="V7" s="147">
        <f>'WINE INTELLIGENCE'!B10</f>
        <v>2037.6684713742654</v>
      </c>
      <c r="W7" s="145">
        <f>'Etude USA'!B10</f>
        <v>462.18000695007527</v>
      </c>
      <c r="X7" s="146">
        <f t="shared" si="3"/>
        <v>6696.1358021998722</v>
      </c>
      <c r="Y7" s="218">
        <f>Y$25*'ANNEXE 1 Grille'!B8/'ANNEXE 1 Grille'!B$51</f>
        <v>276.10386764544756</v>
      </c>
      <c r="Z7" s="212"/>
      <c r="AA7" s="215">
        <f t="shared" si="1"/>
        <v>18272.763877697816</v>
      </c>
      <c r="AB7" s="225">
        <f t="shared" si="4"/>
        <v>17996.660010052368</v>
      </c>
      <c r="AC7" s="212"/>
      <c r="AD7" s="215">
        <v>15899.72917632586</v>
      </c>
      <c r="AE7" s="225">
        <v>15623.625308680412</v>
      </c>
      <c r="AF7" s="212"/>
      <c r="AG7" s="230">
        <f t="shared" si="6"/>
        <v>0.14925000766084257</v>
      </c>
      <c r="AH7" s="216">
        <f t="shared" si="5"/>
        <v>2373.0347013719565</v>
      </c>
      <c r="AI7" s="212"/>
      <c r="AJ7" s="67" t="b">
        <f t="shared" si="2"/>
        <v>1</v>
      </c>
    </row>
    <row r="8" spans="1:36" ht="13.8" x14ac:dyDescent="0.3">
      <c r="A8" s="173" t="s">
        <v>53</v>
      </c>
      <c r="B8" s="141">
        <f>'IRI FR VT'!B11</f>
        <v>85232.375085738488</v>
      </c>
      <c r="C8" s="142">
        <f>'IRI FR EFF'!B11</f>
        <v>6359.4708896561269</v>
      </c>
      <c r="D8" s="143">
        <f>KANTAR!B11</f>
        <v>16740.893546607833</v>
      </c>
      <c r="E8" s="144">
        <f>'Panel CHR'!B11</f>
        <v>7043.088170137351</v>
      </c>
      <c r="F8" s="143">
        <f>'RO CHR'!B11</f>
        <v>0</v>
      </c>
      <c r="G8" s="143">
        <f>'RO Cavistes'!B11</f>
        <v>0</v>
      </c>
      <c r="H8" s="143">
        <f>'RO e-commerce'!B11</f>
        <v>3247.3800330943191</v>
      </c>
      <c r="I8" s="143">
        <f>'Etude quinquennale '!B11</f>
        <v>0</v>
      </c>
      <c r="J8" s="145">
        <f>'OUTIL RO'!B11</f>
        <v>5455.598455598456</v>
      </c>
      <c r="K8" s="145">
        <f>CAVISTES!B11</f>
        <v>2338.1136238279096</v>
      </c>
      <c r="L8" s="146">
        <f t="shared" si="0"/>
        <v>126416.91980466047</v>
      </c>
      <c r="M8" s="201"/>
      <c r="N8" s="147">
        <f>'IRI UK VT'!B11</f>
        <v>12943.060245489909</v>
      </c>
      <c r="O8" s="147">
        <f>'IRI UK VE'!B11</f>
        <v>3189.4067651295413</v>
      </c>
      <c r="P8" s="144">
        <f>'IRI All'!B11</f>
        <v>7986.8992627405851</v>
      </c>
      <c r="Q8" s="144">
        <f>'IRI PB'!B11</f>
        <v>10856.564295037408</v>
      </c>
      <c r="R8" s="147">
        <f>'GfK BE'!B11</f>
        <v>5729.6993011920376</v>
      </c>
      <c r="S8" s="143">
        <f>'AGREX All'!B11</f>
        <v>1227.5570485346925</v>
      </c>
      <c r="T8" s="147">
        <f>GTI!B11</f>
        <v>3346.8305887660731</v>
      </c>
      <c r="U8" s="147">
        <f>'DETAIL MONOPOLES'!B11</f>
        <v>2490.9981953530341</v>
      </c>
      <c r="V8" s="147">
        <f>'WINE INTELLIGENCE'!B11</f>
        <v>21648.312406404795</v>
      </c>
      <c r="W8" s="145">
        <f>'Etude USA'!B11</f>
        <v>4910.22819413877</v>
      </c>
      <c r="X8" s="146">
        <f t="shared" si="3"/>
        <v>74329.556302786834</v>
      </c>
      <c r="Y8" s="218">
        <f>Y$25*'ANNEXE 1 Grille'!B9/'ANNEXE 1 Grille'!B$51</f>
        <v>3190.5335816807274</v>
      </c>
      <c r="Z8" s="212"/>
      <c r="AA8" s="215">
        <f t="shared" si="1"/>
        <v>203937.00968912803</v>
      </c>
      <c r="AB8" s="225">
        <f t="shared" si="4"/>
        <v>200746.47610744729</v>
      </c>
      <c r="AC8" s="212"/>
      <c r="AD8" s="215">
        <v>193273.53435596783</v>
      </c>
      <c r="AE8" s="225">
        <v>190083.00077428709</v>
      </c>
      <c r="AF8" s="212"/>
      <c r="AG8" s="230">
        <f t="shared" si="6"/>
        <v>5.5172972174867947E-2</v>
      </c>
      <c r="AH8" s="216">
        <f t="shared" si="5"/>
        <v>10663.475333160197</v>
      </c>
      <c r="AI8" s="212"/>
      <c r="AJ8" s="67" t="b">
        <f t="shared" si="2"/>
        <v>1</v>
      </c>
    </row>
    <row r="9" spans="1:36" ht="13.8" x14ac:dyDescent="0.3">
      <c r="A9" s="173" t="s">
        <v>54</v>
      </c>
      <c r="B9" s="141">
        <f>'IRI FR VT'!B12</f>
        <v>50427.647255256452</v>
      </c>
      <c r="C9" s="142">
        <f>'IRI FR EFF'!B12</f>
        <v>3762.5744258687337</v>
      </c>
      <c r="D9" s="143">
        <f>KANTAR!B12</f>
        <v>9904.7324875896302</v>
      </c>
      <c r="E9" s="144">
        <f>'Panel CHR'!B12</f>
        <v>4167.0358883473637</v>
      </c>
      <c r="F9" s="143">
        <f>'RO CHR'!B12</f>
        <v>0</v>
      </c>
      <c r="G9" s="143">
        <f>'RO Cavistes'!B12</f>
        <v>0</v>
      </c>
      <c r="H9" s="143">
        <f>'RO e-commerce'!B12</f>
        <v>1921.309064166207</v>
      </c>
      <c r="I9" s="143">
        <f>'Etude quinquennale '!B12</f>
        <v>0</v>
      </c>
      <c r="J9" s="145">
        <f>'OUTIL RO'!B12</f>
        <v>3227.7992277992275</v>
      </c>
      <c r="K9" s="145">
        <f>CAVISTES!B12</f>
        <v>1383.342526199669</v>
      </c>
      <c r="L9" s="146">
        <f t="shared" si="0"/>
        <v>74794.440875227301</v>
      </c>
      <c r="M9" s="201"/>
      <c r="N9" s="147">
        <f>'IRI UK VT'!B12</f>
        <v>7657.7483122643762</v>
      </c>
      <c r="O9" s="147">
        <f>'IRI UK VE'!B12</f>
        <v>1887.0092396661687</v>
      </c>
      <c r="P9" s="144">
        <f>'IRI All'!B12</f>
        <v>4725.4407527608828</v>
      </c>
      <c r="Q9" s="144">
        <f>'IRI PB'!B12</f>
        <v>6423.2751243108796</v>
      </c>
      <c r="R9" s="143">
        <f>'GfK BE'!B12</f>
        <v>3389.9707118163778</v>
      </c>
      <c r="S9" s="143">
        <f>'AGREX All'!B12</f>
        <v>726.28286806440394</v>
      </c>
      <c r="T9" s="143">
        <f>GTI!B12</f>
        <v>1980.1488833746898</v>
      </c>
      <c r="U9" s="143">
        <f>'DETAIL MONOPOLES'!B12</f>
        <v>1473.7965260545907</v>
      </c>
      <c r="V9" s="143">
        <f>'WINE INTELLIGENCE'!B12</f>
        <v>12808.201820066812</v>
      </c>
      <c r="W9" s="145">
        <f>'Etude USA'!B12</f>
        <v>2905.1314722576158</v>
      </c>
      <c r="X9" s="146">
        <f t="shared" si="3"/>
        <v>43977.005710636797</v>
      </c>
      <c r="Y9" s="218">
        <f>Y$25*'ANNEXE 1 Grille'!B10/'ANNEXE 1 Grille'!B$51</f>
        <v>1711.405719294401</v>
      </c>
      <c r="Z9" s="212"/>
      <c r="AA9" s="215">
        <f t="shared" si="1"/>
        <v>120482.85230515849</v>
      </c>
      <c r="AB9" s="225">
        <f t="shared" si="4"/>
        <v>118771.44658586409</v>
      </c>
      <c r="AC9" s="212"/>
      <c r="AD9" s="215">
        <v>103672.13621704043</v>
      </c>
      <c r="AE9" s="225">
        <v>101960.73049774603</v>
      </c>
      <c r="AF9" s="212"/>
      <c r="AG9" s="230">
        <f t="shared" si="6"/>
        <v>0.16215269311056127</v>
      </c>
      <c r="AH9" s="216">
        <f t="shared" si="5"/>
        <v>16810.716088118061</v>
      </c>
      <c r="AI9" s="212"/>
      <c r="AJ9" s="67" t="b">
        <f t="shared" si="2"/>
        <v>1</v>
      </c>
    </row>
    <row r="10" spans="1:36" ht="13.8" x14ac:dyDescent="0.3">
      <c r="A10" s="173" t="s">
        <v>55</v>
      </c>
      <c r="B10" s="141">
        <f>'IRI FR VT'!B13</f>
        <v>2473.126240987458</v>
      </c>
      <c r="C10" s="150">
        <f>'IRI FR EFF'!B13</f>
        <v>0</v>
      </c>
      <c r="D10" s="143">
        <f>KANTAR!B13</f>
        <v>485.75841147269728</v>
      </c>
      <c r="E10" s="144">
        <f>'Panel CHR'!B13</f>
        <v>204.36420026583963</v>
      </c>
      <c r="F10" s="143">
        <f>'RO CHR'!B13</f>
        <v>0</v>
      </c>
      <c r="G10" s="143">
        <f>'RO Cavistes'!B13</f>
        <v>0</v>
      </c>
      <c r="H10" s="143">
        <f>'RO e-commerce'!B13</f>
        <v>94.226879941165691</v>
      </c>
      <c r="I10" s="143">
        <f>'Etude quinquennale '!B13</f>
        <v>0</v>
      </c>
      <c r="J10" s="145">
        <f>'OUTIL RO'!B13</f>
        <v>158.30115830115832</v>
      </c>
      <c r="K10" s="145">
        <f>CAVISTES!B13</f>
        <v>67.84335355763929</v>
      </c>
      <c r="L10" s="146">
        <f t="shared" si="0"/>
        <v>3483.6202445259587</v>
      </c>
      <c r="M10" s="201"/>
      <c r="N10" s="147">
        <f>'IRI UK VT'!B13</f>
        <v>375.55942679765485</v>
      </c>
      <c r="O10" s="194">
        <f>'IRI UK VE'!B13</f>
        <v>0</v>
      </c>
      <c r="P10" s="144">
        <f>'IRI All'!B13</f>
        <v>231.75008476458879</v>
      </c>
      <c r="Q10" s="144">
        <f>'IRI PB'!B13</f>
        <v>315.0170814554379</v>
      </c>
      <c r="R10" s="143">
        <f>'GfK BE'!B13</f>
        <v>166.25454447903292</v>
      </c>
      <c r="S10" s="143">
        <f>'AGREX All'!B13</f>
        <v>35.61913587397197</v>
      </c>
      <c r="T10" s="143">
        <f>GTI!B13</f>
        <v>97.112564854500349</v>
      </c>
      <c r="U10" s="143">
        <f>'DETAIL MONOPOLES'!B13</f>
        <v>72.279494698849547</v>
      </c>
      <c r="V10" s="143">
        <f>'WINE INTELLIGENCE'!B13</f>
        <v>628.15343854394666</v>
      </c>
      <c r="W10" s="145">
        <f>'Etude USA'!B13</f>
        <v>142.47654349588788</v>
      </c>
      <c r="X10" s="146">
        <f t="shared" si="3"/>
        <v>2064.2223149638703</v>
      </c>
      <c r="Y10" s="218">
        <f>Y$25*'ANNEXE 1 Grille'!B11/'ANNEXE 1 Grille'!B$51</f>
        <v>87.652021474745254</v>
      </c>
      <c r="Z10" s="212"/>
      <c r="AA10" s="215">
        <f t="shared" si="1"/>
        <v>5635.4945809645742</v>
      </c>
      <c r="AB10" s="225">
        <f t="shared" si="4"/>
        <v>5547.842559489829</v>
      </c>
      <c r="AC10" s="212"/>
      <c r="AD10" s="215">
        <v>5047.5330718494788</v>
      </c>
      <c r="AE10" s="225">
        <v>4959.8810503747336</v>
      </c>
      <c r="AF10" s="212"/>
      <c r="AG10" s="230">
        <f t="shared" si="6"/>
        <v>0.11648492456527065</v>
      </c>
      <c r="AH10" s="216">
        <f t="shared" si="5"/>
        <v>587.9615091150954</v>
      </c>
      <c r="AI10" s="212"/>
      <c r="AJ10" s="67" t="b">
        <f t="shared" si="2"/>
        <v>1</v>
      </c>
    </row>
    <row r="11" spans="1:36" ht="13.8" x14ac:dyDescent="0.3">
      <c r="A11" s="173" t="s">
        <v>56</v>
      </c>
      <c r="B11" s="149">
        <f>'IRI FR VT'!B14</f>
        <v>0</v>
      </c>
      <c r="C11" s="150">
        <f>'IRI FR EFF'!B14</f>
        <v>0</v>
      </c>
      <c r="D11" s="143">
        <f>KANTAR!B14</f>
        <v>2760.529509100938</v>
      </c>
      <c r="E11" s="144">
        <f>'Panel CHR'!B14</f>
        <v>1161.3867966326984</v>
      </c>
      <c r="F11" s="143">
        <f>'RO CHR'!B14</f>
        <v>0</v>
      </c>
      <c r="G11" s="143">
        <f>'RO Cavistes'!B14</f>
        <v>0</v>
      </c>
      <c r="H11" s="143">
        <f>'RO e-commerce'!B14</f>
        <v>535.48446405589277</v>
      </c>
      <c r="I11" s="143">
        <f>'Etude quinquennale '!B14</f>
        <v>0</v>
      </c>
      <c r="J11" s="145">
        <f>'OUTIL RO'!B14</f>
        <v>899.61389961389966</v>
      </c>
      <c r="K11" s="145">
        <f>CAVISTES!B14</f>
        <v>385.5488141202427</v>
      </c>
      <c r="L11" s="146">
        <f t="shared" si="0"/>
        <v>5742.5634835236724</v>
      </c>
      <c r="M11" s="201"/>
      <c r="N11" s="194">
        <f>'IRI UK VT'!B14</f>
        <v>0</v>
      </c>
      <c r="O11" s="194">
        <f>'IRI UK VE'!B14</f>
        <v>0</v>
      </c>
      <c r="P11" s="152">
        <f>'IRI All'!B14</f>
        <v>0</v>
      </c>
      <c r="Q11" s="152">
        <f>'IRI PB'!B14</f>
        <v>0</v>
      </c>
      <c r="R11" s="151">
        <f>'GfK BE'!B14</f>
        <v>0</v>
      </c>
      <c r="S11" s="151">
        <f>'AGREX All'!B14</f>
        <v>0</v>
      </c>
      <c r="T11" s="143">
        <f>GTI!B14</f>
        <v>551.88360027069712</v>
      </c>
      <c r="U11" s="143">
        <f>'DETAIL MONOPOLES'!B14</f>
        <v>410.75907963004744</v>
      </c>
      <c r="V11" s="151">
        <f>'WINE INTELLIGENCE'!B14</f>
        <v>0</v>
      </c>
      <c r="W11" s="151">
        <f>'Etude USA'!B14</f>
        <v>0</v>
      </c>
      <c r="X11" s="146">
        <f t="shared" si="3"/>
        <v>962.6426799007445</v>
      </c>
      <c r="Y11" s="218">
        <f>Y$25*'ANNEXE 1 Grille'!B12/'ANNEXE 1 Grille'!B$51</f>
        <v>495.23392133231062</v>
      </c>
      <c r="Z11" s="212"/>
      <c r="AA11" s="215">
        <f t="shared" si="1"/>
        <v>7200.4400847567267</v>
      </c>
      <c r="AB11" s="225">
        <f t="shared" si="4"/>
        <v>6705.2061634244164</v>
      </c>
      <c r="AC11" s="212"/>
      <c r="AD11" s="215">
        <v>5902.8963496922079</v>
      </c>
      <c r="AE11" s="225">
        <v>5407.6624283598976</v>
      </c>
      <c r="AF11" s="212"/>
      <c r="AG11" s="230">
        <f t="shared" si="6"/>
        <v>0.21981475841637912</v>
      </c>
      <c r="AH11" s="216">
        <f t="shared" si="5"/>
        <v>1297.5437350645188</v>
      </c>
      <c r="AI11" s="212"/>
      <c r="AJ11" s="67" t="b">
        <f t="shared" si="2"/>
        <v>1</v>
      </c>
    </row>
    <row r="12" spans="1:36" ht="13.8" x14ac:dyDescent="0.3">
      <c r="A12" s="173" t="s">
        <v>57</v>
      </c>
      <c r="B12" s="149">
        <f>'IRI FR VT'!B15</f>
        <v>0</v>
      </c>
      <c r="C12" s="142">
        <f>'IRI FR EFF'!B15</f>
        <v>6620.5107421685498</v>
      </c>
      <c r="D12" s="143">
        <f>KANTAR!B15</f>
        <v>17428.063982349697</v>
      </c>
      <c r="E12" s="144">
        <f>'Panel CHR'!B15</f>
        <v>7332.1887461231727</v>
      </c>
      <c r="F12" s="143">
        <f>'RO CHR'!B15</f>
        <v>0</v>
      </c>
      <c r="G12" s="143">
        <f>'RO Cavistes'!B15</f>
        <v>0</v>
      </c>
      <c r="H12" s="143">
        <f>'RO e-commerce'!B15</f>
        <v>3380.67659496231</v>
      </c>
      <c r="I12" s="143">
        <f>'Etude quinquennale '!B15</f>
        <v>0</v>
      </c>
      <c r="J12" s="145">
        <f>'OUTIL RO'!B15</f>
        <v>5679.5366795366799</v>
      </c>
      <c r="K12" s="145">
        <f>CAVISTES!B15</f>
        <v>2434.0871483728629</v>
      </c>
      <c r="L12" s="146">
        <f t="shared" si="0"/>
        <v>42875.063893513267</v>
      </c>
      <c r="M12" s="201"/>
      <c r="N12" s="194">
        <f>'IRI UK VT'!B15</f>
        <v>0</v>
      </c>
      <c r="O12" s="147">
        <f>'IRI UK VE'!B15</f>
        <v>3320.3236741015962</v>
      </c>
      <c r="P12" s="144">
        <f>'IRI All'!B15</f>
        <v>8314.7408460661009</v>
      </c>
      <c r="Q12" s="152">
        <f>'IRI PB'!B15</f>
        <v>0</v>
      </c>
      <c r="R12" s="155">
        <f>'GfK BE'!B15</f>
        <v>5964.8886567965228</v>
      </c>
      <c r="S12" s="143">
        <f>'AGREX All'!B15</f>
        <v>1277.9450944051896</v>
      </c>
      <c r="T12" s="143">
        <f>GTI!B15</f>
        <v>3484.2093390480491</v>
      </c>
      <c r="U12" s="143">
        <f>'DETAIL MONOPOLES'!B15</f>
        <v>2593.2472366343336</v>
      </c>
      <c r="V12" s="155">
        <f>'WINE INTELLIGENCE'!B15</f>
        <v>22536.919709710863</v>
      </c>
      <c r="W12" s="145">
        <f>'Etude USA'!B15</f>
        <v>5111.7803776207584</v>
      </c>
      <c r="X12" s="146">
        <f t="shared" si="3"/>
        <v>52604.054934383414</v>
      </c>
      <c r="Y12" s="218">
        <f>Y$25*'ANNEXE 1 Grille'!B13/'ANNEXE 1 Grille'!B$51</f>
        <v>3166.4292757751723</v>
      </c>
      <c r="Z12" s="212"/>
      <c r="AA12" s="215">
        <f t="shared" si="1"/>
        <v>98645.548103671856</v>
      </c>
      <c r="AB12" s="225">
        <f t="shared" si="4"/>
        <v>95479.118827896687</v>
      </c>
      <c r="AC12" s="212"/>
      <c r="AD12" s="215">
        <v>84268.740704466371</v>
      </c>
      <c r="AE12" s="225">
        <v>81102.311428691202</v>
      </c>
      <c r="AF12" s="212"/>
      <c r="AG12" s="230">
        <f t="shared" si="6"/>
        <v>0.1706066481950346</v>
      </c>
      <c r="AH12" s="216">
        <f t="shared" si="5"/>
        <v>14376.807399205485</v>
      </c>
      <c r="AI12" s="212"/>
      <c r="AJ12" s="67" t="b">
        <f t="shared" si="2"/>
        <v>1</v>
      </c>
    </row>
    <row r="13" spans="1:36" ht="13.8" x14ac:dyDescent="0.3">
      <c r="A13" s="173" t="s">
        <v>58</v>
      </c>
      <c r="B13" s="141">
        <f>'IRI FR VT'!B16</f>
        <v>5127.2129386325341</v>
      </c>
      <c r="C13" s="150">
        <f>'IRI FR EFF'!B16</f>
        <v>0</v>
      </c>
      <c r="D13" s="143">
        <f>KANTAR!B16</f>
        <v>1007.0601213458357</v>
      </c>
      <c r="E13" s="144">
        <f>'Panel CHR'!B16</f>
        <v>423.68187859991139</v>
      </c>
      <c r="F13" s="143">
        <f>'RO CHR'!B16</f>
        <v>0</v>
      </c>
      <c r="G13" s="143">
        <f>'RO Cavistes'!B16</f>
        <v>0</v>
      </c>
      <c r="H13" s="143">
        <f>'RO e-commerce'!B16</f>
        <v>195.34840963412395</v>
      </c>
      <c r="I13" s="143">
        <f>'Etude quinquennale '!B16</f>
        <v>0</v>
      </c>
      <c r="J13" s="145">
        <f>'OUTIL RO'!B16</f>
        <v>328.18532818532822</v>
      </c>
      <c r="K13" s="145">
        <f>CAVISTES!B16</f>
        <v>140.65085493656923</v>
      </c>
      <c r="L13" s="146">
        <f t="shared" si="0"/>
        <v>7222.1395313343019</v>
      </c>
      <c r="M13" s="201"/>
      <c r="N13" s="194">
        <f>'IRI UK VT'!B16</f>
        <v>0</v>
      </c>
      <c r="O13" s="194">
        <f>'IRI UK VE'!B16</f>
        <v>0</v>
      </c>
      <c r="P13" s="152">
        <f>'IRI All'!B16</f>
        <v>0</v>
      </c>
      <c r="Q13" s="152">
        <f>'IRI PB'!B16</f>
        <v>0</v>
      </c>
      <c r="R13" s="151">
        <f>'GfK BE'!B16</f>
        <v>0</v>
      </c>
      <c r="S13" s="151">
        <f>'AGREX All'!B16</f>
        <v>0</v>
      </c>
      <c r="T13" s="151">
        <f>GTI!B16</f>
        <v>0</v>
      </c>
      <c r="U13" s="151">
        <f>'DETAIL MONOPOLES'!B16</f>
        <v>0</v>
      </c>
      <c r="V13" s="151">
        <f>'WINE INTELLIGENCE'!B16</f>
        <v>0</v>
      </c>
      <c r="W13" s="151">
        <f>'Etude USA'!B16</f>
        <v>0</v>
      </c>
      <c r="X13" s="146">
        <f t="shared" si="3"/>
        <v>0</v>
      </c>
      <c r="Y13" s="218">
        <f>Y$25*'ANNEXE 1 Grille'!B14/'ANNEXE 1 Grille'!B$51</f>
        <v>181.87794456009641</v>
      </c>
      <c r="Z13" s="212"/>
      <c r="AA13" s="215">
        <f t="shared" si="1"/>
        <v>7404.0174758943986</v>
      </c>
      <c r="AB13" s="225">
        <f t="shared" si="4"/>
        <v>7222.1395313343019</v>
      </c>
      <c r="AC13" s="212"/>
      <c r="AD13" s="215">
        <v>6664.2395200260553</v>
      </c>
      <c r="AE13" s="225">
        <v>6482.3615754659586</v>
      </c>
      <c r="AF13" s="212"/>
      <c r="AG13" s="230">
        <f t="shared" si="6"/>
        <v>0.11100710795962672</v>
      </c>
      <c r="AH13" s="216">
        <f t="shared" si="5"/>
        <v>739.77795586834327</v>
      </c>
      <c r="AI13" s="212"/>
      <c r="AJ13" s="67" t="b">
        <f t="shared" si="2"/>
        <v>1</v>
      </c>
    </row>
    <row r="14" spans="1:36" ht="13.8" x14ac:dyDescent="0.3">
      <c r="A14" s="173" t="s">
        <v>59</v>
      </c>
      <c r="B14" s="141">
        <f>'IRI FR VT'!B17</f>
        <v>12486.271509375701</v>
      </c>
      <c r="C14" s="150">
        <f>'IRI FR EFF'!B17</f>
        <v>0</v>
      </c>
      <c r="D14" s="143">
        <f>KANTAR!B17</f>
        <v>2452.487589630447</v>
      </c>
      <c r="E14" s="144">
        <f>'Panel CHR'!B17</f>
        <v>1031.7899867080193</v>
      </c>
      <c r="F14" s="143">
        <f>'RO CHR'!B17</f>
        <v>0</v>
      </c>
      <c r="G14" s="143">
        <f>'RO Cavistes'!B17</f>
        <v>0</v>
      </c>
      <c r="H14" s="143">
        <f>'RO e-commerce'!B17</f>
        <v>475.73083287369008</v>
      </c>
      <c r="I14" s="143">
        <f>'Etude quinquennale '!B17</f>
        <v>0</v>
      </c>
      <c r="J14" s="145">
        <f>'OUTIL RO'!B17</f>
        <v>799.22779922779921</v>
      </c>
      <c r="K14" s="145">
        <f>CAVISTES!B17</f>
        <v>342.52619966905684</v>
      </c>
      <c r="L14" s="146">
        <f t="shared" si="0"/>
        <v>17588.033917484714</v>
      </c>
      <c r="M14" s="201"/>
      <c r="N14" s="147">
        <f>'IRI UK VT'!B17</f>
        <v>1896.117106027184</v>
      </c>
      <c r="O14" s="194">
        <f>'IRI UK VE'!B17</f>
        <v>0</v>
      </c>
      <c r="P14" s="144">
        <f>'IRI All'!B17</f>
        <v>1170.0553060065824</v>
      </c>
      <c r="Q14" s="144">
        <f>'IRI PB'!B17</f>
        <v>1590.4520941774545</v>
      </c>
      <c r="R14" s="156">
        <f>'GfK BE'!B17</f>
        <v>839.38270017462958</v>
      </c>
      <c r="S14" s="143">
        <f>'AGREX All'!B17</f>
        <v>179.83319819298043</v>
      </c>
      <c r="T14" s="156">
        <f>GTI!B17</f>
        <v>490.30002255808705</v>
      </c>
      <c r="U14" s="156">
        <f>'DETAIL MONOPOLES'!B17</f>
        <v>364.9233025039477</v>
      </c>
      <c r="V14" s="156">
        <f>'WINE INTELLIGENCE'!B17</f>
        <v>3171.408823868218</v>
      </c>
      <c r="W14" s="145">
        <f>'Etude USA'!B17</f>
        <v>719.33279277192173</v>
      </c>
      <c r="X14" s="146">
        <f t="shared" si="3"/>
        <v>10421.805346281006</v>
      </c>
      <c r="Y14" s="218">
        <f>Y$25*'ANNEXE 1 Grille'!B15/'ANNEXE 1 Grille'!B$51</f>
        <v>433.87750629998908</v>
      </c>
      <c r="Z14" s="212"/>
      <c r="AA14" s="215">
        <f t="shared" si="1"/>
        <v>28443.716770065708</v>
      </c>
      <c r="AB14" s="225">
        <f t="shared" si="4"/>
        <v>28009.83926376572</v>
      </c>
      <c r="AC14" s="212"/>
      <c r="AD14" s="215">
        <v>24985.288705654926</v>
      </c>
      <c r="AE14" s="225">
        <v>24551.411199354938</v>
      </c>
      <c r="AF14" s="212"/>
      <c r="AG14" s="230">
        <f t="shared" si="6"/>
        <v>0.13841857523255416</v>
      </c>
      <c r="AH14" s="216">
        <f t="shared" si="5"/>
        <v>3458.4280644107821</v>
      </c>
      <c r="AI14" s="212"/>
      <c r="AJ14" s="67" t="b">
        <f t="shared" si="2"/>
        <v>1</v>
      </c>
    </row>
    <row r="15" spans="1:36" ht="13.8" x14ac:dyDescent="0.3">
      <c r="A15" s="173" t="s">
        <v>60</v>
      </c>
      <c r="B15" s="141">
        <f>'IRI FR VT'!B18</f>
        <v>1749.2844143569823</v>
      </c>
      <c r="C15" s="142">
        <f>'IRI FR EFF'!B18</f>
        <v>130.51992625621207</v>
      </c>
      <c r="D15" s="143">
        <f>KANTAR!B18</f>
        <v>343.58521787093213</v>
      </c>
      <c r="E15" s="144">
        <f>'Panel CHR'!B18</f>
        <v>144.55028799291094</v>
      </c>
      <c r="F15" s="143">
        <f>'RO CHR'!B18</f>
        <v>0</v>
      </c>
      <c r="G15" s="143">
        <f>'RO Cavistes'!B18</f>
        <v>0</v>
      </c>
      <c r="H15" s="143">
        <f>'RO e-commerce'!B18</f>
        <v>66.648280933995224</v>
      </c>
      <c r="I15" s="143">
        <f>'Etude quinquennale '!B18</f>
        <v>0</v>
      </c>
      <c r="J15" s="145">
        <f>'OUTIL RO'!B18</f>
        <v>111.96911196911196</v>
      </c>
      <c r="K15" s="145">
        <f>CAVISTES!B18</f>
        <v>47.986762272476554</v>
      </c>
      <c r="L15" s="146">
        <f t="shared" si="0"/>
        <v>2594.5440016526209</v>
      </c>
      <c r="M15" s="201"/>
      <c r="N15" s="194">
        <f>'IRI UK VT'!B18</f>
        <v>0</v>
      </c>
      <c r="O15" s="194">
        <f>'IRI UK VE'!B18</f>
        <v>0</v>
      </c>
      <c r="P15" s="152">
        <f>'IRI All'!B18</f>
        <v>0</v>
      </c>
      <c r="Q15" s="152">
        <f>'IRI PB'!B18</f>
        <v>0</v>
      </c>
      <c r="R15" s="151">
        <f>'GfK BE'!B18</f>
        <v>0</v>
      </c>
      <c r="S15" s="151">
        <f>'AGREX All'!B18</f>
        <v>0</v>
      </c>
      <c r="T15" s="151">
        <f>GTI!B18</f>
        <v>0</v>
      </c>
      <c r="U15" s="151">
        <f>'DETAIL MONOPOLES'!B18</f>
        <v>0</v>
      </c>
      <c r="V15" s="151">
        <f>'WINE INTELLIGENCE'!B18</f>
        <v>0</v>
      </c>
      <c r="W15" s="151">
        <f>'Etude USA'!B18</f>
        <v>0</v>
      </c>
      <c r="X15" s="146">
        <f t="shared" si="3"/>
        <v>0</v>
      </c>
      <c r="Y15" s="218">
        <f>Y$25*'ANNEXE 1 Grille'!B16/'ANNEXE 1 Grille'!B$51</f>
        <v>65.739016106058941</v>
      </c>
      <c r="Z15" s="212"/>
      <c r="AA15" s="215">
        <f t="shared" si="1"/>
        <v>2660.2830177586798</v>
      </c>
      <c r="AB15" s="225">
        <f t="shared" si="4"/>
        <v>2594.5440016526209</v>
      </c>
      <c r="AC15" s="212"/>
      <c r="AD15" s="215">
        <v>2539.7085607688764</v>
      </c>
      <c r="AE15" s="225">
        <v>2473.9695446628175</v>
      </c>
      <c r="AF15" s="212"/>
      <c r="AG15" s="230">
        <f t="shared" si="6"/>
        <v>4.7475706013016081E-2</v>
      </c>
      <c r="AH15" s="216">
        <f t="shared" si="5"/>
        <v>120.57445698980337</v>
      </c>
      <c r="AI15" s="212"/>
      <c r="AJ15" s="67" t="b">
        <f t="shared" si="2"/>
        <v>1</v>
      </c>
    </row>
    <row r="16" spans="1:36" ht="13.8" x14ac:dyDescent="0.3">
      <c r="A16" s="173" t="s">
        <v>61</v>
      </c>
      <c r="B16" s="141">
        <f>'IRI FR VT'!B19</f>
        <v>38604.897420292022</v>
      </c>
      <c r="C16" s="142">
        <f>'IRI FR EFF'!B19</f>
        <v>2880.4397518612318</v>
      </c>
      <c r="D16" s="143">
        <f>KANTAR!B19</f>
        <v>7582.5703254274686</v>
      </c>
      <c r="E16" s="144">
        <f>'Panel CHR'!B19</f>
        <v>3190.0753212228619</v>
      </c>
      <c r="F16" s="143">
        <f>'RO CHR'!B19</f>
        <v>0</v>
      </c>
      <c r="G16" s="143">
        <f>'RO Cavistes'!B19</f>
        <v>0</v>
      </c>
      <c r="H16" s="143">
        <f>'RO e-commerce'!B19</f>
        <v>1470.858613715757</v>
      </c>
      <c r="I16" s="143">
        <f>'Etude quinquennale '!B19</f>
        <v>0</v>
      </c>
      <c r="J16" s="145">
        <f>'OUTIL RO'!B19</f>
        <v>2471.0424710424713</v>
      </c>
      <c r="K16" s="145">
        <f>CAVISTES!B19</f>
        <v>1059.0182018753449</v>
      </c>
      <c r="L16" s="146">
        <f t="shared" si="0"/>
        <v>57258.902105437155</v>
      </c>
      <c r="M16" s="201"/>
      <c r="N16" s="147">
        <f>'IRI UK VT'!B19</f>
        <v>5862.3910524511966</v>
      </c>
      <c r="O16" s="147">
        <f>'IRI UK VE'!B19</f>
        <v>1444.6003748640526</v>
      </c>
      <c r="P16" s="144">
        <f>'IRI All'!B19</f>
        <v>3617.5622987643128</v>
      </c>
      <c r="Q16" s="144">
        <f>'IRI PB'!B19</f>
        <v>4917.3398080848838</v>
      </c>
      <c r="R16" s="143">
        <f>'GfK BE'!B19</f>
        <v>2595.1928894288067</v>
      </c>
      <c r="S16" s="143">
        <f>'AGREX All'!B19</f>
        <v>556.00602339858688</v>
      </c>
      <c r="T16" s="143">
        <f>GTI!B19</f>
        <v>1515.9034513873223</v>
      </c>
      <c r="U16" s="143">
        <f>'DETAIL MONOPOLES'!B19</f>
        <v>1128.2652831039927</v>
      </c>
      <c r="V16" s="143">
        <f>'WINE INTELLIGENCE'!B19</f>
        <v>9805.3219675152632</v>
      </c>
      <c r="W16" s="145">
        <f>'Etude USA'!B19</f>
        <v>2224.0240935943475</v>
      </c>
      <c r="X16" s="146">
        <f t="shared" si="3"/>
        <v>33666.60724259277</v>
      </c>
      <c r="Y16" s="218">
        <f>Y$25*'ANNEXE 1 Grille'!B17/'ANNEXE 1 Grille'!B$51</f>
        <v>1507.6147693656185</v>
      </c>
      <c r="Z16" s="212"/>
      <c r="AA16" s="215">
        <f t="shared" si="1"/>
        <v>92433.12411739555</v>
      </c>
      <c r="AB16" s="225">
        <f t="shared" si="4"/>
        <v>90925.509348029926</v>
      </c>
      <c r="AC16" s="212"/>
      <c r="AD16" s="215">
        <v>91327.054695677085</v>
      </c>
      <c r="AE16" s="225">
        <v>89819.439926311461</v>
      </c>
      <c r="AF16" s="212"/>
      <c r="AG16" s="230">
        <f t="shared" si="6"/>
        <v>1.211108170962202E-2</v>
      </c>
      <c r="AH16" s="216">
        <f t="shared" si="5"/>
        <v>1106.0694217184646</v>
      </c>
      <c r="AI16" s="212"/>
      <c r="AJ16" s="67" t="b">
        <f t="shared" si="2"/>
        <v>1</v>
      </c>
    </row>
    <row r="17" spans="1:38" ht="13.8" x14ac:dyDescent="0.3">
      <c r="A17" s="173" t="s">
        <v>62</v>
      </c>
      <c r="B17" s="141">
        <f>'IRI FR VT'!B20</f>
        <v>56339.022172738667</v>
      </c>
      <c r="C17" s="150">
        <f>'IRI FR EFF'!B20</f>
        <v>0</v>
      </c>
      <c r="D17" s="143">
        <f>KANTAR!B20</f>
        <v>11065.81356867071</v>
      </c>
      <c r="E17" s="144">
        <f>'Panel CHR'!B20</f>
        <v>4655.5161719096141</v>
      </c>
      <c r="F17" s="143">
        <f>'RO CHR'!B20</f>
        <v>0</v>
      </c>
      <c r="G17" s="143">
        <f>'RO Cavistes'!B20</f>
        <v>0</v>
      </c>
      <c r="H17" s="143">
        <f>'RO e-commerce'!B20</f>
        <v>2146.5342893914321</v>
      </c>
      <c r="I17" s="143">
        <f>'Etude quinquennale '!B20</f>
        <v>0</v>
      </c>
      <c r="J17" s="145">
        <f>'OUTIL RO'!B20</f>
        <v>3606.1776061776059</v>
      </c>
      <c r="K17" s="145">
        <f>CAVISTES!B20</f>
        <v>1545.5046883618311</v>
      </c>
      <c r="L17" s="146">
        <f t="shared" si="0"/>
        <v>79358.568497249871</v>
      </c>
      <c r="M17" s="201"/>
      <c r="N17" s="147">
        <f>'IRI UK VT'!B20</f>
        <v>8555.426942170965</v>
      </c>
      <c r="O17" s="194">
        <f>'IRI UK VE'!B20</f>
        <v>0</v>
      </c>
      <c r="P17" s="144">
        <f>'IRI All'!B20</f>
        <v>5279.3799797591691</v>
      </c>
      <c r="Q17" s="144">
        <f>'IRI PB'!B20</f>
        <v>7176.2427824238766</v>
      </c>
      <c r="R17" s="143">
        <f>'GfK BE'!B20</f>
        <v>3787.3596230101643</v>
      </c>
      <c r="S17" s="143">
        <f>'AGREX All'!B20</f>
        <v>811.42129039731265</v>
      </c>
      <c r="T17" s="143">
        <f>GTI!B20</f>
        <v>2212.2715993683737</v>
      </c>
      <c r="U17" s="143">
        <f>'DETAIL MONOPOLES'!B20</f>
        <v>1646.5621475298894</v>
      </c>
      <c r="V17" s="143">
        <f>'WINE INTELLIGENCE'!B20</f>
        <v>14309.641746342588</v>
      </c>
      <c r="W17" s="145">
        <f>'Etude USA'!B20</f>
        <v>3245.6851615892506</v>
      </c>
      <c r="X17" s="146">
        <f t="shared" si="3"/>
        <v>47023.991272591593</v>
      </c>
      <c r="Y17" s="218">
        <f>Y$25*'ANNEXE 1 Grille'!B18/'ANNEXE 1 Grille'!B$51</f>
        <v>2200.0657390161059</v>
      </c>
      <c r="Z17" s="212"/>
      <c r="AA17" s="215">
        <f t="shared" si="1"/>
        <v>128582.62550885757</v>
      </c>
      <c r="AB17" s="225">
        <f t="shared" si="4"/>
        <v>126382.55976984146</v>
      </c>
      <c r="AC17" s="212"/>
      <c r="AD17" s="215">
        <v>126693.08010342196</v>
      </c>
      <c r="AE17" s="225">
        <v>124493.01436440586</v>
      </c>
      <c r="AF17" s="212"/>
      <c r="AG17" s="230">
        <f t="shared" si="6"/>
        <v>1.4914353679720604E-2</v>
      </c>
      <c r="AH17" s="216">
        <f t="shared" si="5"/>
        <v>1889.5454054356087</v>
      </c>
      <c r="AI17" s="212"/>
      <c r="AJ17" s="67" t="b">
        <f t="shared" si="2"/>
        <v>1</v>
      </c>
    </row>
    <row r="18" spans="1:38" ht="13.8" x14ac:dyDescent="0.3">
      <c r="A18" s="173" t="s">
        <v>63</v>
      </c>
      <c r="B18" s="149">
        <f>'IRI FR VT'!B21</f>
        <v>0</v>
      </c>
      <c r="C18" s="150">
        <f>'IRI FR EFF'!B21</f>
        <v>0</v>
      </c>
      <c r="D18" s="143">
        <f>KANTAR!B21</f>
        <v>438.36734693877554</v>
      </c>
      <c r="E18" s="150">
        <f>'Panel CHR'!B21</f>
        <v>0</v>
      </c>
      <c r="F18" s="143">
        <f>'RO CHR'!B21</f>
        <v>0</v>
      </c>
      <c r="G18" s="143">
        <f>'RO Cavistes'!B21</f>
        <v>0</v>
      </c>
      <c r="H18" s="143">
        <f>'RO e-commerce'!B21</f>
        <v>85.034013605442198</v>
      </c>
      <c r="I18" s="143">
        <f>'Etude quinquennale '!B21</f>
        <v>0</v>
      </c>
      <c r="J18" s="145">
        <f>'OUTIL RO'!B21</f>
        <v>142.85714285714286</v>
      </c>
      <c r="K18" s="145">
        <f>CAVISTES!B21</f>
        <v>61.224489795918373</v>
      </c>
      <c r="L18" s="146">
        <f t="shared" si="0"/>
        <v>727.48299319727903</v>
      </c>
      <c r="M18" s="201"/>
      <c r="N18" s="194">
        <f>'IRI UK VT'!B21</f>
        <v>0</v>
      </c>
      <c r="O18" s="194">
        <f>'IRI UK VE'!B21</f>
        <v>0</v>
      </c>
      <c r="P18" s="152">
        <f>'IRI All'!B21</f>
        <v>0</v>
      </c>
      <c r="Q18" s="152">
        <f>'IRI PB'!B21</f>
        <v>0</v>
      </c>
      <c r="R18" s="151">
        <f>'GfK BE'!B21</f>
        <v>0</v>
      </c>
      <c r="S18" s="151">
        <f>'AGREX All'!B21</f>
        <v>0</v>
      </c>
      <c r="T18" s="151">
        <f>GTI!B21</f>
        <v>0</v>
      </c>
      <c r="U18" s="151">
        <f>'DETAIL MONOPOLES'!B21</f>
        <v>0</v>
      </c>
      <c r="V18" s="151">
        <f>'WINE INTELLIGENCE'!B21</f>
        <v>0</v>
      </c>
      <c r="W18" s="151">
        <f>'Etude USA'!B21</f>
        <v>0</v>
      </c>
      <c r="X18" s="146">
        <f t="shared" si="3"/>
        <v>0</v>
      </c>
      <c r="Y18" s="218">
        <f>Y$25*'ANNEXE 1 Grille'!B19/'ANNEXE 1 Grille'!B$51</f>
        <v>83.269420401007991</v>
      </c>
      <c r="Z18" s="212"/>
      <c r="AA18" s="215">
        <f t="shared" si="1"/>
        <v>810.75241359828703</v>
      </c>
      <c r="AB18" s="225">
        <f t="shared" si="4"/>
        <v>727.48299319727903</v>
      </c>
      <c r="AC18" s="212"/>
      <c r="AD18" s="215">
        <v>623.35488112194594</v>
      </c>
      <c r="AE18" s="225">
        <v>540.08546072093793</v>
      </c>
      <c r="AF18" s="212"/>
      <c r="AG18" s="230">
        <f t="shared" si="6"/>
        <v>0.30062736035539411</v>
      </c>
      <c r="AH18" s="216">
        <f t="shared" si="5"/>
        <v>187.3975324763411</v>
      </c>
      <c r="AI18" s="212"/>
      <c r="AJ18" s="67" t="b">
        <f t="shared" si="2"/>
        <v>1</v>
      </c>
    </row>
    <row r="19" spans="1:38" ht="13.8" x14ac:dyDescent="0.3">
      <c r="A19" s="173" t="s">
        <v>64</v>
      </c>
      <c r="B19" s="141">
        <f>'IRI FR VT'!B22</f>
        <v>26239.266215354732</v>
      </c>
      <c r="C19" s="150">
        <f>'IRI FR EFF'!B22</f>
        <v>0</v>
      </c>
      <c r="D19" s="143">
        <f>KANTAR!B22</f>
        <v>5153.7782680639821</v>
      </c>
      <c r="E19" s="144">
        <f>'Panel CHR'!B22</f>
        <v>2168.2543198936637</v>
      </c>
      <c r="F19" s="143">
        <f>'RO CHR'!B22</f>
        <v>0</v>
      </c>
      <c r="G19" s="143">
        <f>'RO Cavistes'!B22</f>
        <v>0</v>
      </c>
      <c r="H19" s="143">
        <f>'RO e-commerce'!B22</f>
        <v>999.72421400992835</v>
      </c>
      <c r="I19" s="143">
        <f>'Etude quinquennale '!B22</f>
        <v>0</v>
      </c>
      <c r="J19" s="145">
        <f>'OUTIL RO'!B22</f>
        <v>1679.5366795366795</v>
      </c>
      <c r="K19" s="145">
        <f>CAVISTES!B22</f>
        <v>719.80143408714832</v>
      </c>
      <c r="L19" s="146">
        <f t="shared" si="0"/>
        <v>36960.361130946127</v>
      </c>
      <c r="M19" s="201"/>
      <c r="N19" s="147">
        <f>'IRI UK VT'!B22</f>
        <v>3984.5939184629228</v>
      </c>
      <c r="O19" s="194">
        <f>'IRI UK VE'!B22</f>
        <v>0</v>
      </c>
      <c r="P19" s="144">
        <f>'IRI All'!B22</f>
        <v>2458.8118749413688</v>
      </c>
      <c r="Q19" s="144">
        <f>'IRI PB'!B22</f>
        <v>3342.2544008076943</v>
      </c>
      <c r="R19" s="143">
        <f>'GfK BE'!B22</f>
        <v>1763.9201670336417</v>
      </c>
      <c r="S19" s="143">
        <f>'AGREX All'!B22</f>
        <v>377.91034402872697</v>
      </c>
      <c r="T19" s="143">
        <f>GTI!B22</f>
        <v>1030.3406271148208</v>
      </c>
      <c r="U19" s="143">
        <f>'DETAIL MONOPOLES'!B22</f>
        <v>766.86780960974511</v>
      </c>
      <c r="V19" s="143">
        <f>'WINE INTELLIGENCE'!B22</f>
        <v>6664.5547747955297</v>
      </c>
      <c r="W19" s="145">
        <f>'Etude USA'!B22</f>
        <v>1511.6413761149079</v>
      </c>
      <c r="X19" s="146">
        <f t="shared" si="3"/>
        <v>21900.895292909361</v>
      </c>
      <c r="Y19" s="218">
        <f>Y$25*'ANNEXE 1 Grille'!B20/'ANNEXE 1 Grille'!B$51</f>
        <v>891.859318505533</v>
      </c>
      <c r="Z19" s="212"/>
      <c r="AA19" s="215">
        <f t="shared" si="1"/>
        <v>59753.115742361028</v>
      </c>
      <c r="AB19" s="225">
        <f t="shared" si="4"/>
        <v>58861.256423855491</v>
      </c>
      <c r="AC19" s="212"/>
      <c r="AD19" s="215">
        <v>51358.649006068459</v>
      </c>
      <c r="AE19" s="225">
        <v>50466.789687562923</v>
      </c>
      <c r="AF19" s="212"/>
      <c r="AG19" s="230">
        <f t="shared" si="6"/>
        <v>0.16344796638440959</v>
      </c>
      <c r="AH19" s="216">
        <f t="shared" si="5"/>
        <v>8394.4667362925684</v>
      </c>
      <c r="AI19" s="212"/>
      <c r="AJ19" s="67" t="b">
        <f t="shared" si="2"/>
        <v>1</v>
      </c>
    </row>
    <row r="20" spans="1:38" ht="13.8" x14ac:dyDescent="0.3">
      <c r="A20" s="173" t="s">
        <v>65</v>
      </c>
      <c r="B20" s="141">
        <f>'IRI FR VT'!B23</f>
        <v>10013.145268388243</v>
      </c>
      <c r="C20" s="150">
        <f>'IRI FR EFF'!B23</f>
        <v>0</v>
      </c>
      <c r="D20" s="143">
        <f>KANTAR!B23</f>
        <v>1966.7291781577496</v>
      </c>
      <c r="E20" s="144">
        <f>'Panel CHR'!B23</f>
        <v>827.42578644217974</v>
      </c>
      <c r="F20" s="143">
        <f>'RO CHR'!B23</f>
        <v>0</v>
      </c>
      <c r="G20" s="143">
        <f>'RO Cavistes'!B23</f>
        <v>0</v>
      </c>
      <c r="H20" s="143">
        <f>'RO e-commerce'!B23</f>
        <v>381.50395293252444</v>
      </c>
      <c r="I20" s="143">
        <f>'Etude quinquennale '!B23</f>
        <v>0</v>
      </c>
      <c r="J20" s="145">
        <f>'OUTIL RO'!B23</f>
        <v>640.92664092664097</v>
      </c>
      <c r="K20" s="145">
        <f>CAVISTES!B23</f>
        <v>274.68284611141758</v>
      </c>
      <c r="L20" s="146">
        <f t="shared" si="0"/>
        <v>14104.413672958755</v>
      </c>
      <c r="M20" s="201"/>
      <c r="N20" s="147">
        <f>'IRI UK VT'!B23</f>
        <v>1520.5576792295294</v>
      </c>
      <c r="O20" s="194">
        <f>'IRI UK VE'!B23</f>
        <v>0</v>
      </c>
      <c r="P20" s="144">
        <f>'IRI All'!B23</f>
        <v>938.30522124199365</v>
      </c>
      <c r="Q20" s="144">
        <f>'IRI PB'!B23</f>
        <v>1275.4350127220168</v>
      </c>
      <c r="R20" s="155">
        <f>'GfK BE'!B23</f>
        <v>673.12815569559666</v>
      </c>
      <c r="S20" s="143">
        <f>'AGREX All'!B23</f>
        <v>144.21406231900846</v>
      </c>
      <c r="T20" s="155">
        <f>GTI!B23</f>
        <v>393.1874577035868</v>
      </c>
      <c r="U20" s="195">
        <f>'DETAIL MONOPOLES'!B23</f>
        <v>292.64380780509816</v>
      </c>
      <c r="V20" s="196">
        <f>'WINE INTELLIGENCE'!B23</f>
        <v>2543.2553853242716</v>
      </c>
      <c r="W20" s="197">
        <f>'Etude USA'!B23</f>
        <v>576.85624927603385</v>
      </c>
      <c r="X20" s="146">
        <f t="shared" si="3"/>
        <v>8357.5830313171355</v>
      </c>
      <c r="Y20" s="218">
        <f>Y$25*'ANNEXE 1 Grille'!B21/'ANNEXE 1 Grille'!B$51</f>
        <v>368.13849019393007</v>
      </c>
      <c r="Z20" s="212"/>
      <c r="AA20" s="215">
        <f t="shared" si="1"/>
        <v>22830.135194469822</v>
      </c>
      <c r="AB20" s="225">
        <f t="shared" si="4"/>
        <v>22461.996704275891</v>
      </c>
      <c r="AC20" s="212"/>
      <c r="AD20" s="215">
        <v>21199.638901767816</v>
      </c>
      <c r="AE20" s="225">
        <v>20831.500411573885</v>
      </c>
      <c r="AF20" s="212"/>
      <c r="AG20" s="230">
        <f t="shared" si="6"/>
        <v>7.6911512514774044E-2</v>
      </c>
      <c r="AH20" s="216">
        <f t="shared" si="5"/>
        <v>1630.496292702006</v>
      </c>
      <c r="AI20" s="212"/>
      <c r="AJ20" s="67" t="b">
        <f t="shared" si="2"/>
        <v>1</v>
      </c>
    </row>
    <row r="21" spans="1:38" ht="13.8" x14ac:dyDescent="0.3">
      <c r="A21" s="173" t="s">
        <v>66</v>
      </c>
      <c r="B21" s="141">
        <f>'IRI FR VT'!B24</f>
        <v>2895.3673065219014</v>
      </c>
      <c r="C21" s="142">
        <f>'IRI FR EFF'!B24</f>
        <v>216.03298138959235</v>
      </c>
      <c r="D21" s="143">
        <f>KANTAR!B24</f>
        <v>568.69277440706014</v>
      </c>
      <c r="E21" s="144">
        <f>'Panel CHR'!B24</f>
        <v>239.25564909171464</v>
      </c>
      <c r="F21" s="143">
        <f>'RO CHR'!B24</f>
        <v>0</v>
      </c>
      <c r="G21" s="143">
        <f>'RO Cavistes'!B24</f>
        <v>0</v>
      </c>
      <c r="H21" s="143">
        <f>'RO e-commerce'!B24</f>
        <v>110.31439602868176</v>
      </c>
      <c r="I21" s="143">
        <f>'Etude quinquennale '!B24</f>
        <v>0</v>
      </c>
      <c r="J21" s="145">
        <f>'OUTIL RO'!B24</f>
        <v>185.32818532818533</v>
      </c>
      <c r="K21" s="145">
        <f>CAVISTES!B24</f>
        <v>79.426365140650844</v>
      </c>
      <c r="L21" s="146">
        <f t="shared" si="0"/>
        <v>4294.4176579077866</v>
      </c>
      <c r="M21" s="201"/>
      <c r="N21" s="194">
        <f>'IRI UK VT'!B24</f>
        <v>0</v>
      </c>
      <c r="O21" s="194">
        <f>'IRI UK VE'!B24</f>
        <v>0</v>
      </c>
      <c r="P21" s="152">
        <f>'IRI All'!B24</f>
        <v>0</v>
      </c>
      <c r="Q21" s="152">
        <f>'IRI PB'!B24</f>
        <v>0</v>
      </c>
      <c r="R21" s="151">
        <f>'GfK BE'!B24</f>
        <v>0</v>
      </c>
      <c r="S21" s="151">
        <f>'AGREX All'!B24</f>
        <v>0</v>
      </c>
      <c r="T21" s="151">
        <f>GTI!B24</f>
        <v>0</v>
      </c>
      <c r="U21" s="151">
        <f>'DETAIL MONOPOLES'!B24</f>
        <v>0</v>
      </c>
      <c r="V21" s="196">
        <f>'WINE INTELLIGENCE'!B24</f>
        <v>735.39914756364476</v>
      </c>
      <c r="W21" s="198">
        <f>'Etude USA'!B24</f>
        <v>0</v>
      </c>
      <c r="X21" s="146">
        <f t="shared" si="3"/>
        <v>735.39914756364476</v>
      </c>
      <c r="Y21" s="218">
        <f>Y$25*'ANNEXE 1 Grille'!B22/'ANNEXE 1 Grille'!B$51</f>
        <v>107.37372630656294</v>
      </c>
      <c r="Z21" s="212"/>
      <c r="AA21" s="215">
        <f t="shared" si="1"/>
        <v>5137.1905317779947</v>
      </c>
      <c r="AB21" s="225">
        <f t="shared" si="4"/>
        <v>5029.8168054714315</v>
      </c>
      <c r="AC21" s="212"/>
      <c r="AD21" s="215">
        <v>4892.9906492558312</v>
      </c>
      <c r="AE21" s="225">
        <v>4785.616922949268</v>
      </c>
      <c r="AF21" s="212"/>
      <c r="AG21" s="230">
        <f t="shared" si="6"/>
        <v>4.9908103249554255E-2</v>
      </c>
      <c r="AH21" s="216">
        <f t="shared" si="5"/>
        <v>244.19988252216353</v>
      </c>
      <c r="AI21" s="212"/>
      <c r="AJ21" s="67" t="b">
        <f t="shared" si="2"/>
        <v>1</v>
      </c>
    </row>
    <row r="22" spans="1:38" ht="13.8" x14ac:dyDescent="0.3">
      <c r="A22" s="173" t="s">
        <v>67</v>
      </c>
      <c r="B22" s="141">
        <f>'IRI FR VT'!B25</f>
        <v>18518.286731296332</v>
      </c>
      <c r="C22" s="142">
        <f>'IRI FR EFF'!B25</f>
        <v>1381.7109434709348</v>
      </c>
      <c r="D22" s="143">
        <f>KANTAR!B25</f>
        <v>3637.2642029784888</v>
      </c>
      <c r="E22" s="144">
        <f>'Panel CHR'!B25</f>
        <v>1530.2392556490918</v>
      </c>
      <c r="F22" s="143">
        <f>'RO CHR'!B25</f>
        <v>0</v>
      </c>
      <c r="G22" s="143">
        <f>'RO Cavistes'!B25</f>
        <v>0</v>
      </c>
      <c r="H22" s="143">
        <f>'RO e-commerce'!B25</f>
        <v>705.55249126677711</v>
      </c>
      <c r="I22" s="143">
        <f>'Etude quinquennale '!B25</f>
        <v>0</v>
      </c>
      <c r="J22" s="145">
        <f>'OUTIL RO'!B25</f>
        <v>1185.3281853281853</v>
      </c>
      <c r="K22" s="145">
        <f>CAVISTES!B25</f>
        <v>507.99779371207944</v>
      </c>
      <c r="L22" s="146">
        <f t="shared" si="0"/>
        <v>27466.379603701887</v>
      </c>
      <c r="M22" s="201"/>
      <c r="N22" s="147">
        <f>'IRI UK VT'!B25</f>
        <v>2812.115707972684</v>
      </c>
      <c r="O22" s="147">
        <f>'IRI UK VE'!B25</f>
        <v>692.95674231760029</v>
      </c>
      <c r="P22" s="144">
        <f>'IRI All'!B25</f>
        <v>1735.2994151885064</v>
      </c>
      <c r="Q22" s="144">
        <f>'IRI PB'!B25</f>
        <v>2358.7864391907178</v>
      </c>
      <c r="R22" s="157">
        <f>'GfK BE'!B25</f>
        <v>1244.8815891478807</v>
      </c>
      <c r="S22" s="143">
        <f>'AGREX All'!B25</f>
        <v>266.7091393490096</v>
      </c>
      <c r="T22" s="157">
        <f>GTI!B25</f>
        <v>727.15993683735621</v>
      </c>
      <c r="U22" s="157">
        <f>'DETAIL MONOPOLES'!B25</f>
        <v>541.21475298894666</v>
      </c>
      <c r="V22" s="196">
        <f>'WINE INTELLIGENCE'!B25</f>
        <v>4703.4903812924777</v>
      </c>
      <c r="W22" s="197">
        <f>'Etude USA'!B25</f>
        <v>1066.8365573960384</v>
      </c>
      <c r="X22" s="146">
        <f t="shared" si="3"/>
        <v>16149.450661681216</v>
      </c>
      <c r="Y22" s="218">
        <f>Y$25*'ANNEXE 1 Grille'!B23/'ANNEXE 1 Grille'!B$51</f>
        <v>666.15536320806393</v>
      </c>
      <c r="Z22" s="212"/>
      <c r="AA22" s="215">
        <f t="shared" si="1"/>
        <v>44281.985628591166</v>
      </c>
      <c r="AB22" s="225">
        <f t="shared" si="4"/>
        <v>43615.830265383105</v>
      </c>
      <c r="AC22" s="212"/>
      <c r="AD22" s="215">
        <v>40353.814865531735</v>
      </c>
      <c r="AE22" s="225">
        <v>39687.659502323673</v>
      </c>
      <c r="AF22" s="212"/>
      <c r="AG22" s="230">
        <f t="shared" si="6"/>
        <v>9.7343232012859437E-2</v>
      </c>
      <c r="AH22" s="216">
        <f t="shared" si="5"/>
        <v>3928.1707630594319</v>
      </c>
      <c r="AI22" s="212"/>
      <c r="AJ22" s="67" t="b">
        <f t="shared" si="2"/>
        <v>1</v>
      </c>
    </row>
    <row r="23" spans="1:38" ht="13.8" x14ac:dyDescent="0.3">
      <c r="A23" s="173" t="s">
        <v>68</v>
      </c>
      <c r="B23" s="141">
        <f>'IRI FR VT'!B26</f>
        <v>37217.53391925028</v>
      </c>
      <c r="C23" s="142">
        <f>'IRI FR EFF'!B26</f>
        <v>2776.9239482787184</v>
      </c>
      <c r="D23" s="143">
        <f>KANTAR!B26</f>
        <v>7310.0717043574195</v>
      </c>
      <c r="E23" s="144">
        <f>'Panel CHR'!B26</f>
        <v>3075.4319893664151</v>
      </c>
      <c r="F23" s="143">
        <f>'RO CHR'!B26</f>
        <v>0</v>
      </c>
      <c r="G23" s="143">
        <f>'RO Cavistes'!B26</f>
        <v>0</v>
      </c>
      <c r="H23" s="143">
        <f>'RO e-commerce'!B26</f>
        <v>1417.9996322853469</v>
      </c>
      <c r="I23" s="143">
        <f>'Etude quinquennale '!B26</f>
        <v>0</v>
      </c>
      <c r="J23" s="145">
        <f>'OUTIL RO'!B26</f>
        <v>2382.2393822393824</v>
      </c>
      <c r="K23" s="145">
        <f>CAVISTES!B26</f>
        <v>1020.9597352454497</v>
      </c>
      <c r="L23" s="146">
        <f t="shared" si="0"/>
        <v>55201.160311023013</v>
      </c>
      <c r="M23" s="201"/>
      <c r="N23" s="147">
        <f>'IRI UK VT'!B26</f>
        <v>5651.7113740037321</v>
      </c>
      <c r="O23" s="147">
        <f>'IRI UK VE'!B26</f>
        <v>1392.6850488923756</v>
      </c>
      <c r="P23" s="144">
        <f>'IRI All'!B26</f>
        <v>3487.5561536524701</v>
      </c>
      <c r="Q23" s="144">
        <f>'IRI PB'!B26</f>
        <v>4740.6229087318334</v>
      </c>
      <c r="R23" s="143">
        <f>'GfK BE'!B26</f>
        <v>2501.9281449649588</v>
      </c>
      <c r="S23" s="143">
        <f>'AGREX All'!B26</f>
        <v>536.02455693270008</v>
      </c>
      <c r="T23" s="143">
        <f>GTI!B26</f>
        <v>1461.4256711030903</v>
      </c>
      <c r="U23" s="143">
        <f>'DETAIL MONOPOLES'!B26</f>
        <v>1087.7182494924432</v>
      </c>
      <c r="V23" s="143">
        <f>'WINE INTELLIGENCE'!B26</f>
        <v>9452.943209307683</v>
      </c>
      <c r="W23" s="145">
        <f>'Etude USA'!B26</f>
        <v>2144.0982277308003</v>
      </c>
      <c r="X23" s="146">
        <f t="shared" si="3"/>
        <v>32456.713544812086</v>
      </c>
      <c r="Y23" s="218">
        <f>Y$25*'ANNEXE 1 Grille'!B24/'ANNEXE 1 Grille'!B$51</f>
        <v>1376.1367371535005</v>
      </c>
      <c r="Z23" s="212"/>
      <c r="AA23" s="215">
        <f t="shared" si="1"/>
        <v>89034.010592988605</v>
      </c>
      <c r="AB23" s="225">
        <f t="shared" si="4"/>
        <v>87657.873855835103</v>
      </c>
      <c r="AC23" s="212"/>
      <c r="AD23" s="215">
        <v>83362.485972216877</v>
      </c>
      <c r="AE23" s="225">
        <v>81986.349235063375</v>
      </c>
      <c r="AF23" s="212"/>
      <c r="AG23" s="230">
        <f t="shared" si="6"/>
        <v>6.8034494828548411E-2</v>
      </c>
      <c r="AH23" s="216">
        <f t="shared" si="5"/>
        <v>5671.5246207717282</v>
      </c>
      <c r="AI23" s="212"/>
      <c r="AJ23" s="67" t="b">
        <f t="shared" si="2"/>
        <v>1</v>
      </c>
    </row>
    <row r="24" spans="1:38" s="68" customFormat="1" ht="14.4" thickBot="1" x14ac:dyDescent="0.35">
      <c r="A24" s="176" t="s">
        <v>69</v>
      </c>
      <c r="B24" s="141">
        <f>'IRI FR VT'!B27</f>
        <v>46024.276143254399</v>
      </c>
      <c r="C24" s="142">
        <f>'IRI FR EFF'!B27</f>
        <v>3434.0242666720628</v>
      </c>
      <c r="D24" s="143">
        <f>KANTAR!B27</f>
        <v>9039.8455598455603</v>
      </c>
      <c r="E24" s="154">
        <f>'Panel CHR'!B27</f>
        <v>3803.167922020381</v>
      </c>
      <c r="F24" s="143">
        <f>'RO CHR'!B27</f>
        <v>0</v>
      </c>
      <c r="G24" s="155">
        <f>'RO Cavistes'!B27</f>
        <v>0</v>
      </c>
      <c r="H24" s="155">
        <f>'RO e-commerce'!B27</f>
        <v>1753.5392535392539</v>
      </c>
      <c r="I24" s="155">
        <f>'Etude quinquennale '!B27</f>
        <v>0</v>
      </c>
      <c r="J24" s="177">
        <f>'OUTIL RO'!B27</f>
        <v>2945.9459459459463</v>
      </c>
      <c r="K24" s="177">
        <f>CAVISTES!B27</f>
        <v>1262.5482625482628</v>
      </c>
      <c r="L24" s="178">
        <f t="shared" si="0"/>
        <v>68263.34735382587</v>
      </c>
      <c r="M24" s="201"/>
      <c r="N24" s="147">
        <f>'IRI UK VT'!B27</f>
        <v>6989.0693328441621</v>
      </c>
      <c r="O24" s="147">
        <f>'IRI UK VE'!B27</f>
        <v>1722.2345094082377</v>
      </c>
      <c r="P24" s="144">
        <f>'IRI All'!B27</f>
        <v>4312.8125530580801</v>
      </c>
      <c r="Q24" s="144">
        <f>'IRI PB'!B27</f>
        <v>5862.3910524511984</v>
      </c>
      <c r="R24" s="158">
        <f>'GfK BE'!B27</f>
        <v>3093.9565228659058</v>
      </c>
      <c r="S24" s="143">
        <f>'AGREX All'!B27</f>
        <v>662.86343102050284</v>
      </c>
      <c r="T24" s="158">
        <f>GTI!B27</f>
        <v>1807.2411459508237</v>
      </c>
      <c r="U24" s="158">
        <f>'DETAIL MONOPOLES'!B27</f>
        <v>1345.1037672005416</v>
      </c>
      <c r="V24" s="158">
        <f>'WINE INTELLIGENCE'!B27</f>
        <v>11689.782283147104</v>
      </c>
      <c r="W24" s="159">
        <f>'Etude USA'!B27</f>
        <v>2651.4537240820114</v>
      </c>
      <c r="X24" s="160">
        <f t="shared" si="3"/>
        <v>40136.908322028568</v>
      </c>
      <c r="Y24" s="220">
        <f>Y$25*'ANNEXE 1 Grille'!B25/'ANNEXE 1 Grille'!B$51</f>
        <v>1722.3622219787442</v>
      </c>
      <c r="Z24" s="212"/>
      <c r="AA24" s="224">
        <f t="shared" si="1"/>
        <v>110122.61789783319</v>
      </c>
      <c r="AB24" s="226">
        <f t="shared" si="4"/>
        <v>108400.25567585444</v>
      </c>
      <c r="AC24" s="212"/>
      <c r="AD24" s="224">
        <v>104335.85027732878</v>
      </c>
      <c r="AE24" s="226">
        <v>102613.48805535003</v>
      </c>
      <c r="AF24" s="212"/>
      <c r="AG24" s="232">
        <f t="shared" si="6"/>
        <v>5.5462888404349577E-2</v>
      </c>
      <c r="AH24" s="233">
        <f t="shared" si="5"/>
        <v>5786.7676205044118</v>
      </c>
      <c r="AI24" s="212"/>
      <c r="AJ24" s="67" t="b">
        <f t="shared" si="2"/>
        <v>1</v>
      </c>
    </row>
    <row r="25" spans="1:38" s="68" customFormat="1" ht="13.8" x14ac:dyDescent="0.3">
      <c r="A25" s="131" t="s">
        <v>70</v>
      </c>
      <c r="B25" s="181">
        <f t="shared" ref="B25:J25" si="7">SUM(B4:B24)</f>
        <v>441784.79485346691</v>
      </c>
      <c r="C25" s="162">
        <f t="shared" si="7"/>
        <v>29411.990278770547</v>
      </c>
      <c r="D25" s="162">
        <f t="shared" si="7"/>
        <v>107400</v>
      </c>
      <c r="E25" s="162">
        <f t="shared" si="7"/>
        <v>44999.999999999993</v>
      </c>
      <c r="F25" s="162">
        <f t="shared" si="7"/>
        <v>0</v>
      </c>
      <c r="G25" s="162">
        <f t="shared" si="7"/>
        <v>0</v>
      </c>
      <c r="H25" s="314">
        <f t="shared" si="7"/>
        <v>20833.333333333343</v>
      </c>
      <c r="I25" s="162">
        <f t="shared" si="7"/>
        <v>0</v>
      </c>
      <c r="J25" s="179">
        <f t="shared" si="7"/>
        <v>35000</v>
      </c>
      <c r="K25" s="179">
        <f t="shared" ref="K25" si="8">SUM(K4:K24)</f>
        <v>15000</v>
      </c>
      <c r="L25" s="163">
        <f t="shared" si="0"/>
        <v>694430.11846557085</v>
      </c>
      <c r="M25" s="164"/>
      <c r="N25" s="161">
        <f t="shared" ref="N25:X25" si="9">SUM(N4:N24)</f>
        <v>65603.819871336673</v>
      </c>
      <c r="O25" s="162">
        <f t="shared" si="9"/>
        <v>14576.92065761258</v>
      </c>
      <c r="P25" s="162">
        <f t="shared" si="9"/>
        <v>48797.523945675493</v>
      </c>
      <c r="Q25" s="162">
        <f t="shared" si="9"/>
        <v>55028.105789849906</v>
      </c>
      <c r="R25" s="162">
        <f t="shared" si="9"/>
        <v>35006.719085060759</v>
      </c>
      <c r="S25" s="162">
        <f t="shared" si="9"/>
        <v>7500.0000000000009</v>
      </c>
      <c r="T25" s="162">
        <f t="shared" si="9"/>
        <v>21000</v>
      </c>
      <c r="U25" s="162">
        <f t="shared" si="9"/>
        <v>15630.000000000002</v>
      </c>
      <c r="V25" s="162">
        <f t="shared" si="9"/>
        <v>133000</v>
      </c>
      <c r="W25" s="179">
        <f>SUM(W4:W24)</f>
        <v>30000.000000000004</v>
      </c>
      <c r="X25" s="163">
        <f t="shared" si="9"/>
        <v>426143.08934953553</v>
      </c>
      <c r="Y25" s="221">
        <v>20000</v>
      </c>
      <c r="Z25" s="126"/>
      <c r="AA25" s="116">
        <f t="shared" si="1"/>
        <v>1140573.2078151065</v>
      </c>
      <c r="AB25" s="124">
        <f t="shared" si="4"/>
        <v>1120573.2078151065</v>
      </c>
      <c r="AC25" s="126"/>
      <c r="AD25" s="116">
        <f>SUM(AD4:AD24)</f>
        <v>1053673.5708364176</v>
      </c>
      <c r="AE25" s="229">
        <f>SUM(AE4:AE24)</f>
        <v>1033673.5708364177</v>
      </c>
      <c r="AF25" s="126"/>
      <c r="AG25" s="234">
        <f t="shared" si="6"/>
        <v>8.2473015726974158E-2</v>
      </c>
      <c r="AH25" s="235">
        <f t="shared" si="5"/>
        <v>86899.636978688883</v>
      </c>
      <c r="AI25" s="126"/>
      <c r="AJ25" s="67" t="b">
        <f t="shared" si="2"/>
        <v>1</v>
      </c>
    </row>
    <row r="26" spans="1:38" ht="24" x14ac:dyDescent="0.3">
      <c r="A26" s="185" t="s">
        <v>307</v>
      </c>
      <c r="B26" s="186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10900</v>
      </c>
      <c r="I26" s="187">
        <v>0</v>
      </c>
      <c r="J26" s="188">
        <v>0</v>
      </c>
      <c r="K26" s="188">
        <v>0</v>
      </c>
      <c r="L26" s="189">
        <f t="shared" si="0"/>
        <v>10900</v>
      </c>
      <c r="M26" s="190"/>
      <c r="N26" s="199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8">
        <v>0</v>
      </c>
      <c r="X26" s="189">
        <f ca="1">SUM(N26:X26)</f>
        <v>0</v>
      </c>
      <c r="Y26" s="222">
        <v>0</v>
      </c>
      <c r="AA26" s="222">
        <v>10900</v>
      </c>
      <c r="AB26" s="134">
        <f t="shared" si="4"/>
        <v>10900</v>
      </c>
      <c r="AD26" s="133">
        <v>139500</v>
      </c>
      <c r="AE26" s="134">
        <v>139500</v>
      </c>
      <c r="AG26" s="230"/>
      <c r="AH26" s="216"/>
      <c r="AJ26" s="67" t="b">
        <f t="shared" ca="1" si="2"/>
        <v>1</v>
      </c>
      <c r="AK26" s="73"/>
      <c r="AL26" s="73"/>
    </row>
    <row r="27" spans="1:38" s="82" customFormat="1" ht="13.8" x14ac:dyDescent="0.3">
      <c r="A27" s="132" t="s">
        <v>71</v>
      </c>
      <c r="B27" s="182">
        <f>'IRI FR VT'!B28</f>
        <v>139510.98784846321</v>
      </c>
      <c r="C27" s="165">
        <f>'IRI FR EFF'!B28</f>
        <v>10333.942530378843</v>
      </c>
      <c r="D27" s="148">
        <f>KANTAR!B28</f>
        <v>107400</v>
      </c>
      <c r="E27" s="166">
        <f>'Panel CHR'!B28</f>
        <v>45000</v>
      </c>
      <c r="F27" s="148">
        <f>'RO CHR'!B28</f>
        <v>0</v>
      </c>
      <c r="G27" s="148">
        <f>'RO Cavistes'!B28</f>
        <v>0</v>
      </c>
      <c r="H27" s="148">
        <f>'RO e-commerce'!B28</f>
        <v>20833.333333333336</v>
      </c>
      <c r="I27" s="143">
        <f>'Etude quinquennale '!B28</f>
        <v>0</v>
      </c>
      <c r="J27" s="145">
        <f>'OUTIL RO'!B28</f>
        <v>0</v>
      </c>
      <c r="K27" s="145">
        <f>CAVISTES!B28</f>
        <v>0</v>
      </c>
      <c r="L27" s="180">
        <f t="shared" si="0"/>
        <v>323078.26371217537</v>
      </c>
      <c r="M27" s="167"/>
      <c r="N27" s="168">
        <f>'IRI UK VT'!B28</f>
        <v>43735.879914224453</v>
      </c>
      <c r="O27" s="169">
        <f>'IRI UK VE'!B28</f>
        <v>9717.9471050750562</v>
      </c>
      <c r="P27" s="166">
        <f>'IRI All'!B28</f>
        <v>32531.682630450327</v>
      </c>
      <c r="Q27" s="166">
        <f>'IRI PB'!B28</f>
        <v>36685.403859899932</v>
      </c>
      <c r="R27" s="148">
        <f>'GfK BE'!B28</f>
        <v>23337.812723373841</v>
      </c>
      <c r="S27" s="148">
        <f>'AGREX All'!B28</f>
        <v>7500</v>
      </c>
      <c r="T27" s="148">
        <f>GTI!B28</f>
        <v>0</v>
      </c>
      <c r="U27" s="148">
        <f>'DETAIL MONOPOLES'!B28</f>
        <v>0</v>
      </c>
      <c r="V27" s="148">
        <f>'WINE INTELLIGENCE'!B28</f>
        <v>0</v>
      </c>
      <c r="W27" s="145">
        <f>'Etude USA'!B28</f>
        <v>0</v>
      </c>
      <c r="X27" s="146">
        <f>SUM(N27:W27)</f>
        <v>153508.72623302363</v>
      </c>
      <c r="Y27" s="218">
        <v>0</v>
      </c>
      <c r="Z27" s="127"/>
      <c r="AA27" s="130">
        <f>L27+X27+Y27</f>
        <v>476586.98994519899</v>
      </c>
      <c r="AB27" s="129">
        <f>AA27-Y27</f>
        <v>476586.98994519899</v>
      </c>
      <c r="AC27" s="127"/>
      <c r="AD27" s="130">
        <v>577885.17083641747</v>
      </c>
      <c r="AE27" s="225">
        <v>577885.17083641747</v>
      </c>
      <c r="AF27" s="127"/>
      <c r="AG27" s="230">
        <f t="shared" si="6"/>
        <v>-0.17529119278939423</v>
      </c>
      <c r="AH27" s="216">
        <f t="shared" si="5"/>
        <v>-101298.18089121848</v>
      </c>
      <c r="AI27" s="127"/>
      <c r="AJ27" s="67" t="b">
        <f t="shared" si="2"/>
        <v>1</v>
      </c>
    </row>
    <row r="28" spans="1:38" s="69" customFormat="1" ht="14.4" thickBot="1" x14ac:dyDescent="0.35">
      <c r="A28" s="184" t="s">
        <v>72</v>
      </c>
      <c r="B28" s="183">
        <f>B25+B27</f>
        <v>581295.78270193015</v>
      </c>
      <c r="C28" s="183">
        <f t="shared" ref="C28:G28" si="10">C25+C27</f>
        <v>39745.932809149388</v>
      </c>
      <c r="D28" s="183">
        <f t="shared" si="10"/>
        <v>214800</v>
      </c>
      <c r="E28" s="183">
        <f t="shared" si="10"/>
        <v>90000</v>
      </c>
      <c r="F28" s="183">
        <f t="shared" si="10"/>
        <v>0</v>
      </c>
      <c r="G28" s="183">
        <f t="shared" si="10"/>
        <v>0</v>
      </c>
      <c r="H28" s="183">
        <f>H25+H27</f>
        <v>41666.666666666679</v>
      </c>
      <c r="I28" s="183">
        <f>I25+I27</f>
        <v>0</v>
      </c>
      <c r="J28" s="183">
        <f t="shared" ref="J28:K28" si="11">J25+J27</f>
        <v>35000</v>
      </c>
      <c r="K28" s="183">
        <f t="shared" si="11"/>
        <v>15000</v>
      </c>
      <c r="L28" s="171">
        <f t="shared" si="0"/>
        <v>1017508.3821777462</v>
      </c>
      <c r="M28" s="172"/>
      <c r="N28" s="170">
        <f>N25+N27</f>
        <v>109339.69978556113</v>
      </c>
      <c r="O28" s="170">
        <f t="shared" ref="O28:X28" si="12">O25+O27</f>
        <v>24294.867762687638</v>
      </c>
      <c r="P28" s="170">
        <f t="shared" si="12"/>
        <v>81329.206576125813</v>
      </c>
      <c r="Q28" s="170">
        <f t="shared" si="12"/>
        <v>91713.509649749845</v>
      </c>
      <c r="R28" s="170">
        <f t="shared" si="12"/>
        <v>58344.5318084346</v>
      </c>
      <c r="S28" s="170">
        <f t="shared" si="12"/>
        <v>15000</v>
      </c>
      <c r="T28" s="170">
        <f t="shared" si="12"/>
        <v>21000</v>
      </c>
      <c r="U28" s="170">
        <f t="shared" si="12"/>
        <v>15630.000000000002</v>
      </c>
      <c r="V28" s="170">
        <f t="shared" si="12"/>
        <v>133000</v>
      </c>
      <c r="W28" s="170">
        <f t="shared" si="12"/>
        <v>30000.000000000004</v>
      </c>
      <c r="X28" s="170">
        <f t="shared" si="12"/>
        <v>579651.81558255921</v>
      </c>
      <c r="Y28" s="223">
        <f>Y25+Y26+Y27</f>
        <v>20000</v>
      </c>
      <c r="Z28" s="128"/>
      <c r="AA28" s="117">
        <f>L28+X28+Y28</f>
        <v>1617160.1977603054</v>
      </c>
      <c r="AB28" s="125">
        <f t="shared" si="4"/>
        <v>1597160.1977603054</v>
      </c>
      <c r="AC28" s="128"/>
      <c r="AD28" s="117">
        <f>SUM(AD4:AD24)+AD27+AD26</f>
        <v>1771058.7416728351</v>
      </c>
      <c r="AE28" s="125">
        <f>SUM(AE25:AE27)</f>
        <v>1751058.7416728353</v>
      </c>
      <c r="AF28" s="128"/>
      <c r="AG28" s="231">
        <f t="shared" si="6"/>
        <v>-8.6896352047118694E-2</v>
      </c>
      <c r="AH28" s="217">
        <f t="shared" si="5"/>
        <v>-153898.54391252971</v>
      </c>
      <c r="AI28" s="128"/>
      <c r="AJ28" s="67" t="b">
        <f t="shared" si="2"/>
        <v>1</v>
      </c>
    </row>
    <row r="29" spans="1:38" x14ac:dyDescent="0.2">
      <c r="A29" s="70"/>
      <c r="B29" s="71"/>
      <c r="H29" s="73"/>
      <c r="Q29" s="91"/>
      <c r="Y29" s="115"/>
      <c r="AD29" s="71"/>
      <c r="AE29" s="71"/>
      <c r="AG29" s="71"/>
      <c r="AH29" s="71"/>
    </row>
    <row r="30" spans="1:38" x14ac:dyDescent="0.2">
      <c r="B30" s="7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83"/>
      <c r="O30" s="83"/>
      <c r="P30" s="74"/>
      <c r="Z30" s="73"/>
      <c r="AA30" s="73"/>
      <c r="AB30" s="73"/>
      <c r="AC30" s="73"/>
      <c r="AD30" s="71"/>
      <c r="AE30" s="71"/>
      <c r="AF30" s="73"/>
      <c r="AG30" s="71"/>
      <c r="AH30" s="71"/>
      <c r="AI30" s="73"/>
    </row>
    <row r="31" spans="1:38" x14ac:dyDescent="0.2">
      <c r="B31" s="73"/>
      <c r="N31" s="75"/>
      <c r="O31" s="75"/>
      <c r="P31" s="75"/>
      <c r="AA31" s="73"/>
      <c r="AD31" s="73"/>
      <c r="AE31" s="73"/>
      <c r="AG31" s="73"/>
      <c r="AH31" s="73"/>
    </row>
    <row r="32" spans="1:38" x14ac:dyDescent="0.2">
      <c r="B32" s="71"/>
      <c r="N32" s="75"/>
      <c r="O32" s="75"/>
      <c r="P32" s="75"/>
      <c r="AD32" s="71"/>
      <c r="AE32" s="71"/>
      <c r="AG32" s="71"/>
      <c r="AH32" s="71"/>
    </row>
    <row r="33" spans="2:34" x14ac:dyDescent="0.2">
      <c r="B33" s="71"/>
      <c r="N33" s="75"/>
      <c r="O33" s="75"/>
      <c r="P33" s="75"/>
      <c r="AD33" s="71"/>
      <c r="AE33" s="71"/>
      <c r="AG33" s="71"/>
      <c r="AH33" s="71"/>
    </row>
    <row r="34" spans="2:34" x14ac:dyDescent="0.2">
      <c r="B34" s="71"/>
      <c r="N34" s="75"/>
      <c r="O34" s="75"/>
      <c r="P34" s="75"/>
      <c r="AD34" s="71"/>
      <c r="AE34" s="71"/>
      <c r="AG34" s="71"/>
      <c r="AH34" s="71"/>
    </row>
    <row r="35" spans="2:34" x14ac:dyDescent="0.2">
      <c r="B35" s="73"/>
      <c r="N35" s="75"/>
      <c r="O35" s="75"/>
      <c r="P35" s="75"/>
      <c r="AD35" s="73"/>
      <c r="AE35" s="73"/>
      <c r="AG35" s="73"/>
      <c r="AH35" s="73"/>
    </row>
    <row r="36" spans="2:34" x14ac:dyDescent="0.2">
      <c r="B36" s="71"/>
      <c r="N36" s="75"/>
      <c r="O36" s="75"/>
      <c r="P36" s="75"/>
      <c r="AD36" s="71"/>
      <c r="AE36" s="71"/>
      <c r="AG36" s="71"/>
      <c r="AH36" s="71"/>
    </row>
    <row r="37" spans="2:34" x14ac:dyDescent="0.2">
      <c r="B37" s="71"/>
      <c r="N37" s="75"/>
      <c r="O37" s="75"/>
      <c r="P37" s="75"/>
      <c r="AD37" s="71"/>
      <c r="AE37" s="71"/>
      <c r="AG37" s="71"/>
      <c r="AH37" s="71"/>
    </row>
    <row r="38" spans="2:34" x14ac:dyDescent="0.2">
      <c r="B38" s="71"/>
      <c r="N38" s="75"/>
      <c r="O38" s="75"/>
      <c r="P38" s="75"/>
      <c r="AD38" s="71"/>
      <c r="AE38" s="71"/>
      <c r="AG38" s="71"/>
      <c r="AH38" s="71"/>
    </row>
    <row r="39" spans="2:34" x14ac:dyDescent="0.2">
      <c r="B39" s="73"/>
      <c r="N39" s="75"/>
      <c r="O39" s="75"/>
      <c r="P39" s="75"/>
      <c r="AD39" s="73"/>
      <c r="AE39" s="73"/>
      <c r="AG39" s="73"/>
      <c r="AH39" s="73"/>
    </row>
    <row r="40" spans="2:34" x14ac:dyDescent="0.2">
      <c r="B40" s="71"/>
      <c r="AD40" s="71"/>
      <c r="AE40" s="71"/>
      <c r="AG40" s="71"/>
      <c r="AH40" s="71"/>
    </row>
    <row r="41" spans="2:34" x14ac:dyDescent="0.2">
      <c r="B41" s="71"/>
      <c r="AD41" s="71"/>
      <c r="AE41" s="71"/>
      <c r="AG41" s="71"/>
      <c r="AH41" s="71"/>
    </row>
    <row r="42" spans="2:34" x14ac:dyDescent="0.2">
      <c r="B42" s="71"/>
      <c r="AD42" s="71"/>
      <c r="AE42" s="71"/>
      <c r="AG42" s="71"/>
      <c r="AH42" s="71"/>
    </row>
    <row r="43" spans="2:34" x14ac:dyDescent="0.2">
      <c r="B43" s="73"/>
      <c r="AD43" s="73"/>
      <c r="AE43" s="73"/>
      <c r="AG43" s="73"/>
      <c r="AH43" s="73"/>
    </row>
    <row r="44" spans="2:34" x14ac:dyDescent="0.2">
      <c r="B44" s="71"/>
      <c r="AD44" s="71"/>
      <c r="AE44" s="71"/>
      <c r="AG44" s="71"/>
      <c r="AH44" s="71"/>
    </row>
    <row r="45" spans="2:34" x14ac:dyDescent="0.2">
      <c r="B45" s="71"/>
      <c r="AD45" s="71"/>
      <c r="AE45" s="71"/>
      <c r="AG45" s="71"/>
      <c r="AH45" s="71"/>
    </row>
    <row r="46" spans="2:34" x14ac:dyDescent="0.2">
      <c r="B46" s="71"/>
      <c r="AD46" s="71"/>
      <c r="AE46" s="71"/>
      <c r="AG46" s="71"/>
      <c r="AH46" s="71"/>
    </row>
    <row r="47" spans="2:34" x14ac:dyDescent="0.2">
      <c r="B47" s="73"/>
      <c r="AD47" s="73"/>
      <c r="AE47" s="73"/>
      <c r="AG47" s="73"/>
      <c r="AH47" s="73"/>
    </row>
    <row r="48" spans="2:34" x14ac:dyDescent="0.2">
      <c r="B48" s="71"/>
      <c r="AD48" s="71"/>
      <c r="AE48" s="71"/>
      <c r="AG48" s="71"/>
      <c r="AH48" s="71"/>
    </row>
    <row r="49" spans="2:34" x14ac:dyDescent="0.2">
      <c r="B49" s="71"/>
      <c r="AD49" s="71"/>
      <c r="AE49" s="71"/>
      <c r="AG49" s="71"/>
      <c r="AH49" s="71"/>
    </row>
    <row r="50" spans="2:34" x14ac:dyDescent="0.2">
      <c r="B50" s="71"/>
      <c r="AD50" s="71"/>
      <c r="AE50" s="71"/>
      <c r="AG50" s="71"/>
      <c r="AH50" s="71"/>
    </row>
    <row r="51" spans="2:34" x14ac:dyDescent="0.2">
      <c r="B51" s="73"/>
      <c r="AD51" s="73"/>
      <c r="AE51" s="73"/>
      <c r="AG51" s="73"/>
      <c r="AH51" s="73"/>
    </row>
    <row r="52" spans="2:34" x14ac:dyDescent="0.2">
      <c r="B52" s="71"/>
      <c r="AD52" s="71"/>
      <c r="AE52" s="71"/>
      <c r="AG52" s="71"/>
      <c r="AH52" s="71"/>
    </row>
    <row r="53" spans="2:34" x14ac:dyDescent="0.2">
      <c r="B53" s="71"/>
      <c r="AD53" s="71"/>
      <c r="AE53" s="71"/>
      <c r="AG53" s="71"/>
      <c r="AH53" s="71"/>
    </row>
    <row r="54" spans="2:34" x14ac:dyDescent="0.2">
      <c r="B54" s="71"/>
      <c r="AD54" s="71"/>
      <c r="AE54" s="71"/>
      <c r="AG54" s="71"/>
      <c r="AH54" s="71"/>
    </row>
    <row r="55" spans="2:34" x14ac:dyDescent="0.2">
      <c r="B55" s="73"/>
      <c r="AD55" s="73"/>
      <c r="AE55" s="73"/>
      <c r="AG55" s="73"/>
      <c r="AH55" s="73"/>
    </row>
    <row r="56" spans="2:34" x14ac:dyDescent="0.2">
      <c r="B56" s="71"/>
      <c r="AD56" s="71"/>
      <c r="AE56" s="71"/>
      <c r="AG56" s="71"/>
      <c r="AH56" s="71"/>
    </row>
    <row r="57" spans="2:34" x14ac:dyDescent="0.2">
      <c r="B57" s="71"/>
      <c r="AD57" s="71"/>
      <c r="AE57" s="71"/>
      <c r="AG57" s="71"/>
      <c r="AH57" s="71"/>
    </row>
    <row r="58" spans="2:34" x14ac:dyDescent="0.2">
      <c r="B58" s="71"/>
      <c r="AD58" s="71"/>
      <c r="AE58" s="71"/>
      <c r="AG58" s="71"/>
      <c r="AH58" s="71"/>
    </row>
    <row r="59" spans="2:34" x14ac:dyDescent="0.2">
      <c r="B59" s="73"/>
      <c r="AD59" s="73"/>
      <c r="AE59" s="73"/>
      <c r="AG59" s="73"/>
      <c r="AH59" s="73"/>
    </row>
    <row r="60" spans="2:34" x14ac:dyDescent="0.2">
      <c r="B60" s="71"/>
      <c r="AD60" s="71"/>
      <c r="AE60" s="71"/>
      <c r="AG60" s="71"/>
      <c r="AH60" s="71"/>
    </row>
    <row r="61" spans="2:34" x14ac:dyDescent="0.2">
      <c r="B61" s="71"/>
      <c r="AD61" s="71"/>
      <c r="AE61" s="71"/>
      <c r="AG61" s="71"/>
      <c r="AH61" s="71"/>
    </row>
    <row r="62" spans="2:34" x14ac:dyDescent="0.2">
      <c r="B62" s="71"/>
      <c r="AD62" s="71"/>
      <c r="AE62" s="71"/>
      <c r="AG62" s="71"/>
      <c r="AH62" s="71"/>
    </row>
    <row r="63" spans="2:34" x14ac:dyDescent="0.2">
      <c r="B63" s="73"/>
      <c r="AD63" s="73"/>
      <c r="AE63" s="73"/>
      <c r="AG63" s="73"/>
      <c r="AH63" s="73"/>
    </row>
    <row r="64" spans="2:34" x14ac:dyDescent="0.2">
      <c r="B64" s="71"/>
      <c r="AD64" s="71"/>
      <c r="AE64" s="71"/>
      <c r="AG64" s="71"/>
      <c r="AH64" s="71"/>
    </row>
    <row r="65" spans="2:34" x14ac:dyDescent="0.2">
      <c r="B65" s="71"/>
      <c r="AD65" s="71"/>
      <c r="AE65" s="71"/>
      <c r="AG65" s="71"/>
      <c r="AH65" s="71"/>
    </row>
    <row r="66" spans="2:34" x14ac:dyDescent="0.2">
      <c r="B66" s="71"/>
      <c r="AD66" s="71"/>
      <c r="AE66" s="71"/>
      <c r="AG66" s="71"/>
      <c r="AH66" s="71"/>
    </row>
    <row r="67" spans="2:34" x14ac:dyDescent="0.2">
      <c r="B67" s="73"/>
      <c r="AD67" s="73"/>
      <c r="AE67" s="73"/>
      <c r="AG67" s="73"/>
      <c r="AH67" s="73"/>
    </row>
    <row r="68" spans="2:34" x14ac:dyDescent="0.2">
      <c r="B68" s="71"/>
      <c r="AD68" s="71"/>
      <c r="AE68" s="71"/>
      <c r="AG68" s="71"/>
      <c r="AH68" s="71"/>
    </row>
    <row r="69" spans="2:34" x14ac:dyDescent="0.2">
      <c r="B69" s="71"/>
      <c r="AD69" s="71"/>
      <c r="AE69" s="71"/>
      <c r="AG69" s="71"/>
      <c r="AH69" s="71"/>
    </row>
    <row r="70" spans="2:34" x14ac:dyDescent="0.2">
      <c r="B70" s="71"/>
      <c r="AD70" s="71"/>
      <c r="AE70" s="71"/>
      <c r="AG70" s="71"/>
      <c r="AH70" s="71"/>
    </row>
    <row r="71" spans="2:34" x14ac:dyDescent="0.2">
      <c r="B71" s="73"/>
      <c r="AD71" s="73"/>
      <c r="AE71" s="73"/>
      <c r="AG71" s="73"/>
      <c r="AH71" s="73"/>
    </row>
    <row r="72" spans="2:34" x14ac:dyDescent="0.2">
      <c r="B72" s="71"/>
      <c r="AD72" s="71"/>
      <c r="AE72" s="71"/>
      <c r="AG72" s="71"/>
      <c r="AH72" s="71"/>
    </row>
    <row r="73" spans="2:34" x14ac:dyDescent="0.2">
      <c r="B73" s="71"/>
      <c r="AD73" s="71"/>
      <c r="AE73" s="71"/>
      <c r="AG73" s="71"/>
      <c r="AH73" s="71"/>
    </row>
    <row r="74" spans="2:34" x14ac:dyDescent="0.2">
      <c r="B74" s="71"/>
      <c r="AD74" s="71"/>
      <c r="AE74" s="71"/>
      <c r="AG74" s="71"/>
      <c r="AH74" s="71"/>
    </row>
    <row r="75" spans="2:34" x14ac:dyDescent="0.2">
      <c r="B75" s="73"/>
      <c r="AD75" s="73"/>
      <c r="AE75" s="73"/>
      <c r="AG75" s="73"/>
      <c r="AH75" s="73"/>
    </row>
    <row r="76" spans="2:34" x14ac:dyDescent="0.2">
      <c r="B76" s="71"/>
      <c r="AD76" s="71"/>
      <c r="AE76" s="71"/>
      <c r="AG76" s="71"/>
      <c r="AH76" s="71"/>
    </row>
    <row r="77" spans="2:34" x14ac:dyDescent="0.2">
      <c r="B77" s="71"/>
      <c r="AD77" s="71"/>
      <c r="AE77" s="71"/>
      <c r="AG77" s="71"/>
      <c r="AH77" s="71"/>
    </row>
    <row r="78" spans="2:34" x14ac:dyDescent="0.2">
      <c r="B78" s="71"/>
      <c r="AD78" s="71"/>
      <c r="AE78" s="71"/>
      <c r="AG78" s="71"/>
      <c r="AH78" s="71"/>
    </row>
    <row r="79" spans="2:34" x14ac:dyDescent="0.2">
      <c r="B79" s="73"/>
      <c r="AD79" s="73"/>
      <c r="AE79" s="73"/>
      <c r="AG79" s="73"/>
      <c r="AH79" s="73"/>
    </row>
    <row r="80" spans="2:34" x14ac:dyDescent="0.2">
      <c r="B80" s="71"/>
      <c r="AD80" s="71"/>
      <c r="AE80" s="71"/>
      <c r="AG80" s="71"/>
      <c r="AH80" s="71"/>
    </row>
    <row r="81" spans="2:34" x14ac:dyDescent="0.2">
      <c r="B81" s="71"/>
      <c r="AD81" s="71"/>
      <c r="AE81" s="71"/>
      <c r="AG81" s="71"/>
      <c r="AH81" s="71"/>
    </row>
    <row r="82" spans="2:34" x14ac:dyDescent="0.2">
      <c r="B82" s="71"/>
      <c r="AD82" s="71"/>
      <c r="AE82" s="71"/>
      <c r="AG82" s="71"/>
      <c r="AH82" s="71"/>
    </row>
    <row r="83" spans="2:34" x14ac:dyDescent="0.2">
      <c r="B83" s="73"/>
      <c r="AD83" s="73"/>
      <c r="AE83" s="73"/>
      <c r="AG83" s="73"/>
      <c r="AH83" s="73"/>
    </row>
    <row r="84" spans="2:34" x14ac:dyDescent="0.2">
      <c r="B84" s="71"/>
      <c r="AD84" s="71"/>
      <c r="AE84" s="71"/>
      <c r="AG84" s="71"/>
      <c r="AH84" s="71"/>
    </row>
    <row r="85" spans="2:34" x14ac:dyDescent="0.2">
      <c r="B85" s="71"/>
      <c r="AD85" s="71"/>
      <c r="AE85" s="71"/>
      <c r="AG85" s="71"/>
      <c r="AH85" s="71"/>
    </row>
    <row r="86" spans="2:34" x14ac:dyDescent="0.2">
      <c r="B86" s="71"/>
      <c r="AD86" s="71"/>
      <c r="AE86" s="71"/>
      <c r="AG86" s="71"/>
      <c r="AH86" s="71"/>
    </row>
    <row r="87" spans="2:34" x14ac:dyDescent="0.2">
      <c r="B87" s="73"/>
      <c r="AD87" s="73"/>
      <c r="AE87" s="73"/>
      <c r="AG87" s="73"/>
      <c r="AH87" s="73"/>
    </row>
    <row r="88" spans="2:34" x14ac:dyDescent="0.2">
      <c r="B88" s="71"/>
      <c r="AD88" s="71"/>
      <c r="AE88" s="71"/>
      <c r="AG88" s="71"/>
      <c r="AH88" s="71"/>
    </row>
    <row r="89" spans="2:34" x14ac:dyDescent="0.2">
      <c r="B89" s="71"/>
      <c r="AD89" s="71"/>
      <c r="AE89" s="71"/>
      <c r="AG89" s="71"/>
      <c r="AH89" s="71"/>
    </row>
    <row r="90" spans="2:34" x14ac:dyDescent="0.2">
      <c r="B90" s="71"/>
      <c r="AD90" s="71"/>
      <c r="AE90" s="71"/>
      <c r="AG90" s="71"/>
      <c r="AH90" s="71"/>
    </row>
    <row r="91" spans="2:34" x14ac:dyDescent="0.2">
      <c r="B91" s="73"/>
      <c r="AD91" s="73"/>
      <c r="AE91" s="73"/>
      <c r="AG91" s="73"/>
      <c r="AH91" s="73"/>
    </row>
    <row r="92" spans="2:34" x14ac:dyDescent="0.2">
      <c r="B92" s="71"/>
      <c r="AD92" s="71"/>
      <c r="AE92" s="71"/>
      <c r="AG92" s="71"/>
      <c r="AH92" s="71"/>
    </row>
    <row r="93" spans="2:34" x14ac:dyDescent="0.2">
      <c r="B93" s="71"/>
      <c r="AD93" s="71"/>
      <c r="AE93" s="71"/>
      <c r="AG93" s="71"/>
      <c r="AH93" s="71"/>
    </row>
    <row r="94" spans="2:34" x14ac:dyDescent="0.2">
      <c r="B94" s="71"/>
      <c r="AD94" s="71"/>
      <c r="AE94" s="71"/>
      <c r="AG94" s="71"/>
      <c r="AH94" s="71"/>
    </row>
    <row r="95" spans="2:34" x14ac:dyDescent="0.2">
      <c r="B95" s="73"/>
      <c r="AD95" s="73"/>
      <c r="AE95" s="73"/>
      <c r="AG95" s="73"/>
      <c r="AH95" s="73"/>
    </row>
    <row r="96" spans="2:34" x14ac:dyDescent="0.2">
      <c r="B96" s="71"/>
      <c r="AD96" s="71"/>
      <c r="AE96" s="71"/>
      <c r="AG96" s="71"/>
      <c r="AH96" s="71"/>
    </row>
    <row r="97" spans="2:34" x14ac:dyDescent="0.2">
      <c r="B97" s="71"/>
      <c r="AD97" s="71"/>
      <c r="AE97" s="71"/>
      <c r="AG97" s="71"/>
      <c r="AH97" s="71"/>
    </row>
    <row r="98" spans="2:34" x14ac:dyDescent="0.2">
      <c r="B98" s="71"/>
      <c r="AD98" s="71"/>
      <c r="AE98" s="71"/>
      <c r="AG98" s="71"/>
      <c r="AH98" s="71"/>
    </row>
    <row r="99" spans="2:34" x14ac:dyDescent="0.2">
      <c r="B99" s="73"/>
      <c r="AD99" s="73"/>
      <c r="AE99" s="73"/>
      <c r="AG99" s="73"/>
      <c r="AH99" s="73"/>
    </row>
    <row r="100" spans="2:34" x14ac:dyDescent="0.2">
      <c r="B100" s="71"/>
      <c r="AD100" s="71"/>
      <c r="AE100" s="71"/>
      <c r="AG100" s="71"/>
      <c r="AH100" s="71"/>
    </row>
    <row r="101" spans="2:34" x14ac:dyDescent="0.2">
      <c r="B101" s="71"/>
      <c r="AD101" s="71"/>
      <c r="AE101" s="71"/>
      <c r="AG101" s="71"/>
      <c r="AH101" s="71"/>
    </row>
    <row r="102" spans="2:34" x14ac:dyDescent="0.2">
      <c r="B102" s="71"/>
      <c r="AD102" s="71"/>
      <c r="AE102" s="71"/>
      <c r="AG102" s="71"/>
      <c r="AH102" s="71"/>
    </row>
    <row r="103" spans="2:34" x14ac:dyDescent="0.2">
      <c r="B103" s="73"/>
      <c r="AD103" s="73"/>
      <c r="AE103" s="73"/>
      <c r="AG103" s="73"/>
      <c r="AH103" s="73"/>
    </row>
    <row r="104" spans="2:34" x14ac:dyDescent="0.2">
      <c r="B104" s="71"/>
      <c r="AD104" s="71"/>
      <c r="AE104" s="71"/>
      <c r="AG104" s="71"/>
      <c r="AH104" s="71"/>
    </row>
    <row r="105" spans="2:34" x14ac:dyDescent="0.2">
      <c r="B105" s="71"/>
      <c r="AD105" s="71"/>
      <c r="AE105" s="71"/>
      <c r="AG105" s="71"/>
      <c r="AH105" s="71"/>
    </row>
    <row r="106" spans="2:34" x14ac:dyDescent="0.2">
      <c r="B106" s="71"/>
      <c r="AD106" s="71"/>
      <c r="AE106" s="71"/>
      <c r="AG106" s="71"/>
      <c r="AH106" s="71"/>
    </row>
    <row r="107" spans="2:34" x14ac:dyDescent="0.2">
      <c r="B107" s="73"/>
      <c r="AD107" s="73"/>
      <c r="AE107" s="73"/>
      <c r="AG107" s="73"/>
      <c r="AH107" s="73"/>
    </row>
    <row r="108" spans="2:34" x14ac:dyDescent="0.2">
      <c r="B108" s="71"/>
      <c r="AD108" s="71"/>
      <c r="AE108" s="71"/>
      <c r="AG108" s="71"/>
      <c r="AH108" s="71"/>
    </row>
    <row r="109" spans="2:34" x14ac:dyDescent="0.2">
      <c r="B109" s="71"/>
      <c r="AD109" s="71"/>
      <c r="AE109" s="71"/>
      <c r="AG109" s="71"/>
      <c r="AH109" s="71"/>
    </row>
    <row r="110" spans="2:34" x14ac:dyDescent="0.2">
      <c r="B110" s="71"/>
      <c r="AD110" s="71"/>
      <c r="AE110" s="71"/>
      <c r="AG110" s="71"/>
      <c r="AH110" s="71"/>
    </row>
    <row r="111" spans="2:34" x14ac:dyDescent="0.2">
      <c r="B111" s="73"/>
      <c r="AD111" s="73"/>
      <c r="AE111" s="73"/>
      <c r="AG111" s="73"/>
      <c r="AH111" s="73"/>
    </row>
    <row r="112" spans="2:34" x14ac:dyDescent="0.2">
      <c r="B112" s="71"/>
      <c r="AD112" s="71"/>
      <c r="AE112" s="71"/>
      <c r="AG112" s="71"/>
      <c r="AH112" s="71"/>
    </row>
    <row r="113" spans="2:34" x14ac:dyDescent="0.2">
      <c r="B113" s="71"/>
      <c r="AD113" s="71"/>
      <c r="AE113" s="71"/>
      <c r="AG113" s="71"/>
      <c r="AH113" s="71"/>
    </row>
    <row r="114" spans="2:34" x14ac:dyDescent="0.2">
      <c r="B114" s="71"/>
      <c r="AD114" s="71"/>
      <c r="AE114" s="71"/>
      <c r="AG114" s="71"/>
      <c r="AH114" s="71"/>
    </row>
    <row r="115" spans="2:34" x14ac:dyDescent="0.2">
      <c r="B115" s="73"/>
      <c r="AD115" s="73"/>
      <c r="AE115" s="73"/>
      <c r="AG115" s="73"/>
      <c r="AH115" s="73"/>
    </row>
    <row r="116" spans="2:34" x14ac:dyDescent="0.2">
      <c r="B116" s="71"/>
      <c r="AD116" s="71"/>
      <c r="AE116" s="71"/>
      <c r="AG116" s="71"/>
      <c r="AH116" s="71"/>
    </row>
    <row r="117" spans="2:34" x14ac:dyDescent="0.2">
      <c r="B117" s="71"/>
      <c r="AD117" s="71"/>
      <c r="AE117" s="71"/>
      <c r="AG117" s="71"/>
      <c r="AH117" s="71"/>
    </row>
    <row r="118" spans="2:34" x14ac:dyDescent="0.2">
      <c r="B118" s="71"/>
      <c r="AD118" s="71"/>
      <c r="AE118" s="71"/>
      <c r="AG118" s="71"/>
      <c r="AH118" s="71"/>
    </row>
    <row r="119" spans="2:34" x14ac:dyDescent="0.2">
      <c r="B119" s="73"/>
      <c r="AD119" s="73"/>
      <c r="AE119" s="73"/>
      <c r="AG119" s="73"/>
      <c r="AH119" s="73"/>
    </row>
    <row r="120" spans="2:34" x14ac:dyDescent="0.2">
      <c r="B120" s="71"/>
      <c r="AD120" s="71"/>
      <c r="AE120" s="71"/>
      <c r="AG120" s="71"/>
      <c r="AH120" s="71"/>
    </row>
    <row r="121" spans="2:34" x14ac:dyDescent="0.2">
      <c r="B121" s="71"/>
      <c r="AD121" s="71"/>
      <c r="AE121" s="71"/>
      <c r="AG121" s="71"/>
      <c r="AH121" s="71"/>
    </row>
    <row r="122" spans="2:34" x14ac:dyDescent="0.2">
      <c r="B122" s="71"/>
      <c r="AD122" s="71"/>
      <c r="AE122" s="71"/>
      <c r="AG122" s="71"/>
      <c r="AH122" s="71"/>
    </row>
    <row r="123" spans="2:34" x14ac:dyDescent="0.2">
      <c r="B123" s="73"/>
      <c r="AD123" s="73"/>
      <c r="AE123" s="73"/>
      <c r="AG123" s="73"/>
      <c r="AH123" s="73"/>
    </row>
    <row r="124" spans="2:34" x14ac:dyDescent="0.2">
      <c r="B124" s="71"/>
      <c r="AD124" s="71"/>
      <c r="AE124" s="71"/>
      <c r="AG124" s="71"/>
      <c r="AH124" s="71"/>
    </row>
    <row r="125" spans="2:34" x14ac:dyDescent="0.2">
      <c r="B125" s="71"/>
      <c r="AD125" s="71"/>
      <c r="AE125" s="71"/>
      <c r="AG125" s="71"/>
      <c r="AH125" s="71"/>
    </row>
    <row r="126" spans="2:34" x14ac:dyDescent="0.2">
      <c r="B126" s="71"/>
      <c r="AD126" s="71"/>
      <c r="AE126" s="71"/>
      <c r="AG126" s="71"/>
      <c r="AH126" s="71"/>
    </row>
    <row r="127" spans="2:34" x14ac:dyDescent="0.2">
      <c r="B127" s="73"/>
      <c r="AD127" s="73"/>
      <c r="AE127" s="73"/>
      <c r="AG127" s="73"/>
      <c r="AH127" s="73"/>
    </row>
    <row r="128" spans="2:34" x14ac:dyDescent="0.2">
      <c r="B128" s="71"/>
      <c r="AD128" s="71"/>
      <c r="AE128" s="71"/>
      <c r="AG128" s="71"/>
      <c r="AH128" s="71"/>
    </row>
    <row r="129" spans="2:34" x14ac:dyDescent="0.2">
      <c r="B129" s="71"/>
      <c r="AD129" s="71"/>
      <c r="AE129" s="71"/>
      <c r="AG129" s="71"/>
      <c r="AH129" s="71"/>
    </row>
    <row r="130" spans="2:34" x14ac:dyDescent="0.2">
      <c r="B130" s="71"/>
      <c r="AD130" s="71"/>
      <c r="AE130" s="71"/>
      <c r="AG130" s="71"/>
      <c r="AH130" s="71"/>
    </row>
    <row r="131" spans="2:34" x14ac:dyDescent="0.2">
      <c r="B131" s="73"/>
      <c r="AD131" s="73"/>
      <c r="AE131" s="73"/>
      <c r="AG131" s="73"/>
      <c r="AH131" s="73"/>
    </row>
    <row r="132" spans="2:34" x14ac:dyDescent="0.2">
      <c r="B132" s="71"/>
      <c r="AD132" s="71"/>
      <c r="AE132" s="71"/>
      <c r="AG132" s="71"/>
      <c r="AH132" s="71"/>
    </row>
    <row r="133" spans="2:34" x14ac:dyDescent="0.2">
      <c r="B133" s="71"/>
      <c r="AD133" s="71"/>
      <c r="AE133" s="71"/>
      <c r="AG133" s="71"/>
      <c r="AH133" s="71"/>
    </row>
    <row r="134" spans="2:34" x14ac:dyDescent="0.2">
      <c r="B134" s="71"/>
      <c r="AD134" s="71"/>
      <c r="AE134" s="71"/>
      <c r="AG134" s="71"/>
      <c r="AH134" s="71"/>
    </row>
    <row r="135" spans="2:34" x14ac:dyDescent="0.2">
      <c r="B135" s="73"/>
      <c r="AD135" s="73"/>
      <c r="AE135" s="73"/>
      <c r="AG135" s="73"/>
      <c r="AH135" s="73"/>
    </row>
    <row r="136" spans="2:34" x14ac:dyDescent="0.2">
      <c r="B136" s="71"/>
      <c r="AD136" s="71"/>
      <c r="AE136" s="71"/>
      <c r="AG136" s="71"/>
      <c r="AH136" s="71"/>
    </row>
    <row r="137" spans="2:34" x14ac:dyDescent="0.2">
      <c r="B137" s="71"/>
      <c r="AD137" s="71"/>
      <c r="AE137" s="71"/>
      <c r="AG137" s="71"/>
      <c r="AH137" s="71"/>
    </row>
    <row r="138" spans="2:34" x14ac:dyDescent="0.2">
      <c r="B138" s="71"/>
      <c r="AD138" s="71"/>
      <c r="AE138" s="71"/>
      <c r="AG138" s="71"/>
      <c r="AH138" s="71"/>
    </row>
    <row r="139" spans="2:34" x14ac:dyDescent="0.2">
      <c r="B139" s="73"/>
      <c r="AD139" s="73"/>
      <c r="AE139" s="73"/>
      <c r="AG139" s="73"/>
      <c r="AH139" s="73"/>
    </row>
    <row r="140" spans="2:34" x14ac:dyDescent="0.2">
      <c r="B140" s="71"/>
      <c r="AD140" s="71"/>
      <c r="AE140" s="71"/>
      <c r="AG140" s="71"/>
      <c r="AH140" s="71"/>
    </row>
    <row r="141" spans="2:34" x14ac:dyDescent="0.2">
      <c r="B141" s="71"/>
      <c r="AD141" s="71"/>
      <c r="AE141" s="71"/>
      <c r="AG141" s="71"/>
      <c r="AH141" s="71"/>
    </row>
    <row r="142" spans="2:34" x14ac:dyDescent="0.2">
      <c r="B142" s="71"/>
      <c r="AD142" s="71"/>
      <c r="AE142" s="71"/>
      <c r="AG142" s="71"/>
      <c r="AH142" s="71"/>
    </row>
    <row r="143" spans="2:34" x14ac:dyDescent="0.2">
      <c r="B143" s="73"/>
      <c r="AD143" s="73"/>
      <c r="AE143" s="73"/>
      <c r="AG143" s="73"/>
      <c r="AH143" s="73"/>
    </row>
    <row r="144" spans="2:34" x14ac:dyDescent="0.2">
      <c r="B144" s="71"/>
      <c r="AD144" s="71"/>
      <c r="AE144" s="71"/>
      <c r="AG144" s="71"/>
      <c r="AH144" s="71"/>
    </row>
    <row r="145" spans="2:34" x14ac:dyDescent="0.2">
      <c r="B145" s="71"/>
      <c r="AD145" s="71"/>
      <c r="AE145" s="71"/>
      <c r="AG145" s="71"/>
      <c r="AH145" s="71"/>
    </row>
    <row r="146" spans="2:34" x14ac:dyDescent="0.2">
      <c r="B146" s="71"/>
      <c r="AD146" s="71"/>
      <c r="AE146" s="71"/>
      <c r="AG146" s="71"/>
      <c r="AH146" s="71"/>
    </row>
    <row r="147" spans="2:34" x14ac:dyDescent="0.2">
      <c r="B147" s="73"/>
      <c r="AD147" s="73"/>
      <c r="AE147" s="73"/>
      <c r="AG147" s="73"/>
      <c r="AH147" s="73"/>
    </row>
    <row r="148" spans="2:34" x14ac:dyDescent="0.2">
      <c r="B148" s="71"/>
      <c r="AD148" s="71"/>
      <c r="AE148" s="71"/>
      <c r="AG148" s="71"/>
      <c r="AH148" s="71"/>
    </row>
    <row r="149" spans="2:34" x14ac:dyDescent="0.2">
      <c r="B149" s="71"/>
      <c r="AD149" s="71"/>
      <c r="AE149" s="71"/>
      <c r="AG149" s="71"/>
      <c r="AH149" s="71"/>
    </row>
    <row r="150" spans="2:34" x14ac:dyDescent="0.2">
      <c r="B150" s="71"/>
      <c r="AD150" s="71"/>
      <c r="AE150" s="71"/>
      <c r="AG150" s="71"/>
      <c r="AH150" s="71"/>
    </row>
    <row r="151" spans="2:34" x14ac:dyDescent="0.2">
      <c r="B151" s="73"/>
      <c r="AD151" s="73"/>
      <c r="AE151" s="73"/>
      <c r="AG151" s="73"/>
      <c r="AH151" s="73"/>
    </row>
    <row r="152" spans="2:34" x14ac:dyDescent="0.2">
      <c r="B152" s="71"/>
      <c r="AD152" s="71"/>
      <c r="AE152" s="71"/>
      <c r="AG152" s="71"/>
      <c r="AH152" s="71"/>
    </row>
    <row r="153" spans="2:34" x14ac:dyDescent="0.2">
      <c r="B153" s="71"/>
      <c r="AD153" s="71"/>
      <c r="AE153" s="71"/>
      <c r="AG153" s="71"/>
      <c r="AH153" s="71"/>
    </row>
    <row r="154" spans="2:34" x14ac:dyDescent="0.2">
      <c r="B154" s="71"/>
      <c r="AD154" s="71"/>
      <c r="AE154" s="71"/>
      <c r="AG154" s="71"/>
      <c r="AH154" s="71"/>
    </row>
    <row r="155" spans="2:34" x14ac:dyDescent="0.2">
      <c r="B155" s="73"/>
      <c r="AD155" s="73"/>
      <c r="AE155" s="73"/>
      <c r="AG155" s="73"/>
      <c r="AH155" s="73"/>
    </row>
    <row r="156" spans="2:34" x14ac:dyDescent="0.2">
      <c r="B156" s="71"/>
      <c r="AD156" s="71"/>
      <c r="AE156" s="71"/>
      <c r="AG156" s="71"/>
      <c r="AH156" s="71"/>
    </row>
    <row r="157" spans="2:34" x14ac:dyDescent="0.2">
      <c r="B157" s="71"/>
      <c r="AD157" s="71"/>
      <c r="AE157" s="71"/>
      <c r="AG157" s="71"/>
      <c r="AH157" s="71"/>
    </row>
    <row r="158" spans="2:34" x14ac:dyDescent="0.2">
      <c r="B158" s="71"/>
      <c r="AD158" s="71"/>
      <c r="AE158" s="71"/>
      <c r="AG158" s="71"/>
      <c r="AH158" s="71"/>
    </row>
    <row r="159" spans="2:34" x14ac:dyDescent="0.2">
      <c r="B159" s="73"/>
      <c r="AD159" s="73"/>
      <c r="AE159" s="73"/>
      <c r="AG159" s="73"/>
      <c r="AH159" s="73"/>
    </row>
    <row r="160" spans="2:34" x14ac:dyDescent="0.2">
      <c r="B160" s="71"/>
      <c r="AD160" s="71"/>
      <c r="AE160" s="71"/>
      <c r="AG160" s="71"/>
      <c r="AH160" s="71"/>
    </row>
    <row r="161" spans="2:34" x14ac:dyDescent="0.2">
      <c r="B161" s="71"/>
      <c r="AD161" s="71"/>
      <c r="AE161" s="71"/>
      <c r="AG161" s="71"/>
      <c r="AH161" s="71"/>
    </row>
    <row r="162" spans="2:34" x14ac:dyDescent="0.2">
      <c r="B162" s="71"/>
      <c r="AD162" s="71"/>
      <c r="AE162" s="71"/>
      <c r="AG162" s="71"/>
      <c r="AH162" s="71"/>
    </row>
    <row r="163" spans="2:34" x14ac:dyDescent="0.2">
      <c r="B163" s="73"/>
      <c r="AD163" s="73"/>
      <c r="AE163" s="73"/>
      <c r="AG163" s="73"/>
      <c r="AH163" s="73"/>
    </row>
    <row r="164" spans="2:34" x14ac:dyDescent="0.2">
      <c r="B164" s="71"/>
      <c r="AD164" s="71"/>
      <c r="AE164" s="71"/>
      <c r="AG164" s="71"/>
      <c r="AH164" s="71"/>
    </row>
    <row r="165" spans="2:34" x14ac:dyDescent="0.2">
      <c r="B165" s="71"/>
      <c r="AD165" s="71"/>
      <c r="AE165" s="71"/>
      <c r="AG165" s="71"/>
      <c r="AH165" s="71"/>
    </row>
    <row r="166" spans="2:34" x14ac:dyDescent="0.2">
      <c r="B166" s="71"/>
      <c r="AD166" s="71"/>
      <c r="AE166" s="71"/>
      <c r="AG166" s="71"/>
      <c r="AH166" s="71"/>
    </row>
    <row r="167" spans="2:34" x14ac:dyDescent="0.2">
      <c r="B167" s="73"/>
      <c r="AD167" s="73"/>
      <c r="AE167" s="73"/>
      <c r="AG167" s="73"/>
      <c r="AH167" s="73"/>
    </row>
    <row r="168" spans="2:34" x14ac:dyDescent="0.2">
      <c r="B168" s="71"/>
      <c r="AD168" s="71"/>
      <c r="AE168" s="71"/>
      <c r="AG168" s="71"/>
      <c r="AH168" s="71"/>
    </row>
    <row r="169" spans="2:34" x14ac:dyDescent="0.2">
      <c r="B169" s="71"/>
      <c r="AD169" s="71"/>
      <c r="AE169" s="71"/>
      <c r="AG169" s="71"/>
      <c r="AH169" s="71"/>
    </row>
    <row r="170" spans="2:34" x14ac:dyDescent="0.2">
      <c r="B170" s="71"/>
      <c r="AD170" s="71"/>
      <c r="AE170" s="71"/>
      <c r="AG170" s="71"/>
      <c r="AH170" s="71"/>
    </row>
    <row r="171" spans="2:34" x14ac:dyDescent="0.2">
      <c r="B171" s="73"/>
      <c r="AD171" s="73"/>
      <c r="AE171" s="73"/>
      <c r="AG171" s="73"/>
      <c r="AH171" s="73"/>
    </row>
    <row r="172" spans="2:34" x14ac:dyDescent="0.2">
      <c r="B172" s="71"/>
      <c r="AD172" s="71"/>
      <c r="AE172" s="71"/>
      <c r="AG172" s="71"/>
      <c r="AH172" s="71"/>
    </row>
    <row r="173" spans="2:34" x14ac:dyDescent="0.2">
      <c r="B173" s="71"/>
      <c r="AD173" s="71"/>
      <c r="AE173" s="71"/>
      <c r="AG173" s="71"/>
      <c r="AH173" s="71"/>
    </row>
    <row r="174" spans="2:34" x14ac:dyDescent="0.2">
      <c r="B174" s="71"/>
      <c r="AD174" s="71"/>
      <c r="AE174" s="71"/>
      <c r="AG174" s="71"/>
      <c r="AH174" s="71"/>
    </row>
    <row r="175" spans="2:34" x14ac:dyDescent="0.2">
      <c r="B175" s="73"/>
      <c r="AD175" s="73"/>
      <c r="AE175" s="73"/>
      <c r="AG175" s="73"/>
      <c r="AH175" s="73"/>
    </row>
    <row r="176" spans="2:34" x14ac:dyDescent="0.2">
      <c r="B176" s="71"/>
      <c r="AD176" s="71"/>
      <c r="AE176" s="71"/>
      <c r="AG176" s="71"/>
      <c r="AH176" s="71"/>
    </row>
    <row r="177" spans="2:34" x14ac:dyDescent="0.2">
      <c r="B177" s="71"/>
      <c r="AD177" s="71"/>
      <c r="AE177" s="71"/>
      <c r="AG177" s="71"/>
      <c r="AH177" s="71"/>
    </row>
    <row r="178" spans="2:34" x14ac:dyDescent="0.2">
      <c r="B178" s="71"/>
      <c r="AD178" s="71"/>
      <c r="AE178" s="71"/>
      <c r="AG178" s="71"/>
      <c r="AH178" s="71"/>
    </row>
    <row r="179" spans="2:34" x14ac:dyDescent="0.2">
      <c r="B179" s="73"/>
      <c r="AD179" s="73"/>
      <c r="AE179" s="73"/>
      <c r="AG179" s="73"/>
      <c r="AH179" s="73"/>
    </row>
    <row r="180" spans="2:34" x14ac:dyDescent="0.2">
      <c r="B180" s="71"/>
      <c r="AD180" s="71"/>
      <c r="AE180" s="71"/>
      <c r="AG180" s="71"/>
      <c r="AH180" s="71"/>
    </row>
    <row r="181" spans="2:34" x14ac:dyDescent="0.2">
      <c r="B181" s="71"/>
      <c r="AD181" s="71"/>
      <c r="AE181" s="71"/>
      <c r="AG181" s="71"/>
      <c r="AH181" s="71"/>
    </row>
    <row r="182" spans="2:34" x14ac:dyDescent="0.2">
      <c r="B182" s="71"/>
      <c r="AD182" s="71"/>
      <c r="AE182" s="71"/>
      <c r="AG182" s="71"/>
      <c r="AH182" s="71"/>
    </row>
    <row r="183" spans="2:34" x14ac:dyDescent="0.2">
      <c r="B183" s="73"/>
      <c r="AD183" s="73"/>
      <c r="AE183" s="73"/>
      <c r="AG183" s="73"/>
      <c r="AH183" s="73"/>
    </row>
    <row r="184" spans="2:34" x14ac:dyDescent="0.2">
      <c r="B184" s="71"/>
      <c r="AD184" s="71"/>
      <c r="AE184" s="71"/>
      <c r="AG184" s="71"/>
      <c r="AH184" s="71"/>
    </row>
    <row r="185" spans="2:34" x14ac:dyDescent="0.2">
      <c r="B185" s="71"/>
      <c r="AD185" s="71"/>
      <c r="AE185" s="71"/>
      <c r="AG185" s="71"/>
      <c r="AH185" s="71"/>
    </row>
    <row r="186" spans="2:34" x14ac:dyDescent="0.2">
      <c r="B186" s="71"/>
      <c r="AD186" s="71"/>
      <c r="AE186" s="71"/>
      <c r="AG186" s="71"/>
      <c r="AH186" s="71"/>
    </row>
    <row r="187" spans="2:34" x14ac:dyDescent="0.2">
      <c r="B187" s="73"/>
      <c r="AD187" s="73"/>
      <c r="AE187" s="73"/>
      <c r="AG187" s="73"/>
      <c r="AH187" s="73"/>
    </row>
    <row r="188" spans="2:34" x14ac:dyDescent="0.2">
      <c r="B188" s="71"/>
      <c r="AD188" s="71"/>
      <c r="AE188" s="71"/>
      <c r="AG188" s="71"/>
      <c r="AH188" s="71"/>
    </row>
    <row r="189" spans="2:34" x14ac:dyDescent="0.2">
      <c r="B189" s="71"/>
      <c r="AD189" s="71"/>
      <c r="AE189" s="71"/>
      <c r="AG189" s="71"/>
      <c r="AH189" s="71"/>
    </row>
    <row r="190" spans="2:34" x14ac:dyDescent="0.2">
      <c r="B190" s="71"/>
      <c r="AD190" s="71"/>
      <c r="AE190" s="71"/>
      <c r="AG190" s="71"/>
      <c r="AH190" s="71"/>
    </row>
    <row r="191" spans="2:34" x14ac:dyDescent="0.2">
      <c r="B191" s="73"/>
      <c r="AD191" s="73"/>
      <c r="AE191" s="73"/>
      <c r="AG191" s="73"/>
      <c r="AH191" s="73"/>
    </row>
    <row r="192" spans="2:34" x14ac:dyDescent="0.2">
      <c r="B192" s="71"/>
      <c r="AD192" s="71"/>
      <c r="AE192" s="71"/>
      <c r="AG192" s="71"/>
      <c r="AH192" s="71"/>
    </row>
    <row r="193" spans="2:34" x14ac:dyDescent="0.2">
      <c r="B193" s="71"/>
      <c r="AD193" s="71"/>
      <c r="AE193" s="71"/>
      <c r="AG193" s="71"/>
      <c r="AH193" s="71"/>
    </row>
    <row r="194" spans="2:34" x14ac:dyDescent="0.2">
      <c r="B194" s="71"/>
      <c r="AD194" s="71"/>
      <c r="AE194" s="71"/>
      <c r="AG194" s="71"/>
      <c r="AH194" s="71"/>
    </row>
    <row r="195" spans="2:34" x14ac:dyDescent="0.2">
      <c r="B195" s="73"/>
      <c r="AD195" s="73"/>
      <c r="AE195" s="73"/>
      <c r="AG195" s="73"/>
      <c r="AH195" s="73"/>
    </row>
    <row r="196" spans="2:34" x14ac:dyDescent="0.2">
      <c r="B196" s="71"/>
      <c r="AD196" s="71"/>
      <c r="AE196" s="71"/>
      <c r="AG196" s="71"/>
      <c r="AH196" s="71"/>
    </row>
    <row r="197" spans="2:34" x14ac:dyDescent="0.2">
      <c r="B197" s="71"/>
      <c r="AD197" s="71"/>
      <c r="AE197" s="71"/>
      <c r="AG197" s="71"/>
      <c r="AH197" s="71"/>
    </row>
    <row r="198" spans="2:34" x14ac:dyDescent="0.2">
      <c r="B198" s="71"/>
      <c r="AD198" s="71"/>
      <c r="AE198" s="71"/>
      <c r="AG198" s="71"/>
      <c r="AH198" s="71"/>
    </row>
    <row r="199" spans="2:34" x14ac:dyDescent="0.2">
      <c r="B199" s="73"/>
      <c r="AD199" s="73"/>
      <c r="AE199" s="73"/>
      <c r="AG199" s="73"/>
      <c r="AH199" s="73"/>
    </row>
    <row r="200" spans="2:34" x14ac:dyDescent="0.2">
      <c r="B200" s="71"/>
      <c r="AD200" s="71"/>
      <c r="AE200" s="71"/>
      <c r="AG200" s="71"/>
      <c r="AH200" s="71"/>
    </row>
    <row r="201" spans="2:34" x14ac:dyDescent="0.2">
      <c r="B201" s="71"/>
      <c r="AD201" s="71"/>
      <c r="AE201" s="71"/>
      <c r="AG201" s="71"/>
      <c r="AH201" s="71"/>
    </row>
    <row r="202" spans="2:34" x14ac:dyDescent="0.2">
      <c r="B202" s="71"/>
      <c r="AD202" s="71"/>
      <c r="AE202" s="71"/>
      <c r="AG202" s="71"/>
      <c r="AH202" s="71"/>
    </row>
    <row r="203" spans="2:34" x14ac:dyDescent="0.2">
      <c r="B203" s="73"/>
      <c r="AD203" s="73"/>
      <c r="AE203" s="73"/>
      <c r="AG203" s="73"/>
      <c r="AH203" s="73"/>
    </row>
    <row r="204" spans="2:34" x14ac:dyDescent="0.2">
      <c r="B204" s="71"/>
      <c r="AD204" s="71"/>
      <c r="AE204" s="71"/>
      <c r="AG204" s="71"/>
      <c r="AH204" s="71"/>
    </row>
    <row r="205" spans="2:34" x14ac:dyDescent="0.2">
      <c r="B205" s="71"/>
      <c r="AD205" s="71"/>
      <c r="AE205" s="71"/>
      <c r="AG205" s="71"/>
      <c r="AH205" s="71"/>
    </row>
    <row r="206" spans="2:34" x14ac:dyDescent="0.2">
      <c r="B206" s="71"/>
      <c r="AD206" s="71"/>
      <c r="AE206" s="71"/>
      <c r="AG206" s="71"/>
      <c r="AH206" s="71"/>
    </row>
    <row r="207" spans="2:34" x14ac:dyDescent="0.2">
      <c r="B207" s="73"/>
      <c r="AD207" s="73"/>
      <c r="AE207" s="73"/>
      <c r="AG207" s="73"/>
      <c r="AH207" s="73"/>
    </row>
    <row r="208" spans="2:34" x14ac:dyDescent="0.2">
      <c r="B208" s="71"/>
      <c r="AD208" s="71"/>
      <c r="AE208" s="71"/>
      <c r="AG208" s="71"/>
      <c r="AH208" s="71"/>
    </row>
    <row r="209" spans="2:34" x14ac:dyDescent="0.2">
      <c r="B209" s="71"/>
      <c r="AD209" s="71"/>
      <c r="AE209" s="71"/>
      <c r="AG209" s="71"/>
      <c r="AH209" s="71"/>
    </row>
    <row r="210" spans="2:34" x14ac:dyDescent="0.2">
      <c r="B210" s="71"/>
      <c r="AD210" s="71"/>
      <c r="AE210" s="71"/>
      <c r="AG210" s="71"/>
      <c r="AH210" s="71"/>
    </row>
    <row r="211" spans="2:34" x14ac:dyDescent="0.2">
      <c r="B211" s="73"/>
      <c r="AD211" s="73"/>
      <c r="AE211" s="73"/>
      <c r="AG211" s="73"/>
      <c r="AH211" s="73"/>
    </row>
    <row r="212" spans="2:34" x14ac:dyDescent="0.2">
      <c r="B212" s="71"/>
      <c r="AD212" s="71"/>
      <c r="AE212" s="71"/>
      <c r="AG212" s="71"/>
      <c r="AH212" s="71"/>
    </row>
    <row r="213" spans="2:34" x14ac:dyDescent="0.2">
      <c r="B213" s="71"/>
      <c r="AD213" s="71"/>
      <c r="AE213" s="71"/>
      <c r="AG213" s="71"/>
      <c r="AH213" s="71"/>
    </row>
    <row r="214" spans="2:34" x14ac:dyDescent="0.2">
      <c r="B214" s="71"/>
      <c r="AD214" s="71"/>
      <c r="AE214" s="71"/>
      <c r="AG214" s="71"/>
      <c r="AH214" s="71"/>
    </row>
    <row r="215" spans="2:34" x14ac:dyDescent="0.2">
      <c r="B215" s="73"/>
      <c r="AD215" s="73"/>
      <c r="AE215" s="73"/>
      <c r="AG215" s="73"/>
      <c r="AH215" s="73"/>
    </row>
    <row r="216" spans="2:34" x14ac:dyDescent="0.2">
      <c r="B216" s="71"/>
      <c r="AD216" s="71"/>
      <c r="AE216" s="71"/>
      <c r="AG216" s="71"/>
      <c r="AH216" s="71"/>
    </row>
    <row r="217" spans="2:34" x14ac:dyDescent="0.2">
      <c r="B217" s="71"/>
      <c r="AD217" s="71"/>
      <c r="AE217" s="71"/>
      <c r="AG217" s="71"/>
      <c r="AH217" s="71"/>
    </row>
    <row r="218" spans="2:34" x14ac:dyDescent="0.2">
      <c r="B218" s="71"/>
      <c r="AD218" s="71"/>
      <c r="AE218" s="71"/>
      <c r="AG218" s="71"/>
      <c r="AH218" s="71"/>
    </row>
    <row r="219" spans="2:34" x14ac:dyDescent="0.2">
      <c r="B219" s="73"/>
      <c r="AD219" s="73"/>
      <c r="AE219" s="73"/>
      <c r="AG219" s="73"/>
      <c r="AH219" s="73"/>
    </row>
    <row r="220" spans="2:34" x14ac:dyDescent="0.2">
      <c r="B220" s="71"/>
      <c r="AD220" s="71"/>
      <c r="AE220" s="71"/>
      <c r="AG220" s="71"/>
      <c r="AH220" s="71"/>
    </row>
    <row r="221" spans="2:34" x14ac:dyDescent="0.2">
      <c r="B221" s="71"/>
      <c r="AD221" s="71"/>
      <c r="AE221" s="71"/>
      <c r="AG221" s="71"/>
      <c r="AH221" s="71"/>
    </row>
    <row r="222" spans="2:34" x14ac:dyDescent="0.2">
      <c r="B222" s="71"/>
      <c r="AD222" s="71"/>
      <c r="AE222" s="71"/>
      <c r="AG222" s="71"/>
      <c r="AH222" s="71"/>
    </row>
    <row r="223" spans="2:34" x14ac:dyDescent="0.2">
      <c r="B223" s="73"/>
      <c r="AD223" s="73"/>
      <c r="AE223" s="73"/>
      <c r="AG223" s="73"/>
      <c r="AH223" s="73"/>
    </row>
    <row r="224" spans="2:34" x14ac:dyDescent="0.2">
      <c r="B224" s="71"/>
      <c r="AD224" s="71"/>
      <c r="AE224" s="71"/>
      <c r="AG224" s="71"/>
      <c r="AH224" s="71"/>
    </row>
    <row r="225" spans="2:34" x14ac:dyDescent="0.2">
      <c r="B225" s="71"/>
      <c r="AD225" s="71"/>
      <c r="AE225" s="71"/>
      <c r="AG225" s="71"/>
      <c r="AH225" s="71"/>
    </row>
    <row r="226" spans="2:34" x14ac:dyDescent="0.2">
      <c r="B226" s="71"/>
      <c r="AD226" s="71"/>
      <c r="AE226" s="71"/>
      <c r="AG226" s="71"/>
      <c r="AH226" s="71"/>
    </row>
    <row r="227" spans="2:34" x14ac:dyDescent="0.2">
      <c r="B227" s="73"/>
      <c r="AD227" s="73"/>
      <c r="AE227" s="73"/>
      <c r="AG227" s="73"/>
      <c r="AH227" s="73"/>
    </row>
    <row r="228" spans="2:34" x14ac:dyDescent="0.2">
      <c r="B228" s="71"/>
      <c r="AD228" s="71"/>
      <c r="AE228" s="71"/>
      <c r="AG228" s="71"/>
      <c r="AH228" s="71"/>
    </row>
    <row r="229" spans="2:34" x14ac:dyDescent="0.2">
      <c r="B229" s="71"/>
      <c r="AD229" s="71"/>
      <c r="AE229" s="71"/>
      <c r="AG229" s="71"/>
      <c r="AH229" s="71"/>
    </row>
    <row r="230" spans="2:34" x14ac:dyDescent="0.2">
      <c r="B230" s="71"/>
      <c r="AD230" s="71"/>
      <c r="AE230" s="71"/>
      <c r="AG230" s="71"/>
      <c r="AH230" s="71"/>
    </row>
    <row r="231" spans="2:34" x14ac:dyDescent="0.2">
      <c r="B231" s="73"/>
      <c r="AD231" s="73"/>
      <c r="AE231" s="73"/>
      <c r="AG231" s="73"/>
      <c r="AH231" s="73"/>
    </row>
    <row r="232" spans="2:34" x14ac:dyDescent="0.2">
      <c r="B232" s="71"/>
      <c r="AD232" s="71"/>
      <c r="AE232" s="71"/>
      <c r="AG232" s="71"/>
      <c r="AH232" s="71"/>
    </row>
    <row r="233" spans="2:34" x14ac:dyDescent="0.2">
      <c r="B233" s="71"/>
      <c r="AD233" s="71"/>
      <c r="AE233" s="71"/>
      <c r="AG233" s="71"/>
      <c r="AH233" s="71"/>
    </row>
    <row r="234" spans="2:34" x14ac:dyDescent="0.2">
      <c r="B234" s="71"/>
      <c r="AD234" s="71"/>
      <c r="AE234" s="71"/>
      <c r="AG234" s="71"/>
      <c r="AH234" s="71"/>
    </row>
    <row r="235" spans="2:34" x14ac:dyDescent="0.2">
      <c r="B235" s="73"/>
      <c r="AD235" s="73"/>
      <c r="AE235" s="73"/>
      <c r="AG235" s="73"/>
      <c r="AH235" s="73"/>
    </row>
    <row r="236" spans="2:34" x14ac:dyDescent="0.2">
      <c r="B236" s="71"/>
      <c r="AD236" s="71"/>
      <c r="AE236" s="71"/>
      <c r="AG236" s="71"/>
      <c r="AH236" s="71"/>
    </row>
    <row r="237" spans="2:34" x14ac:dyDescent="0.2">
      <c r="B237" s="71"/>
      <c r="AD237" s="71"/>
      <c r="AE237" s="71"/>
      <c r="AG237" s="71"/>
      <c r="AH237" s="71"/>
    </row>
    <row r="238" spans="2:34" x14ac:dyDescent="0.2">
      <c r="B238" s="71"/>
      <c r="AD238" s="71"/>
      <c r="AE238" s="71"/>
      <c r="AG238" s="71"/>
      <c r="AH238" s="71"/>
    </row>
    <row r="239" spans="2:34" x14ac:dyDescent="0.2">
      <c r="B239" s="73"/>
      <c r="AD239" s="73"/>
      <c r="AE239" s="73"/>
      <c r="AG239" s="73"/>
      <c r="AH239" s="73"/>
    </row>
    <row r="240" spans="2:34" x14ac:dyDescent="0.2">
      <c r="B240" s="71"/>
      <c r="AD240" s="71"/>
      <c r="AE240" s="71"/>
      <c r="AG240" s="71"/>
      <c r="AH240" s="71"/>
    </row>
    <row r="241" spans="2:34" x14ac:dyDescent="0.2">
      <c r="B241" s="71"/>
      <c r="AD241" s="71"/>
      <c r="AE241" s="71"/>
      <c r="AG241" s="71"/>
      <c r="AH241" s="71"/>
    </row>
    <row r="242" spans="2:34" x14ac:dyDescent="0.2">
      <c r="B242" s="71"/>
      <c r="AD242" s="71"/>
      <c r="AE242" s="71"/>
      <c r="AG242" s="71"/>
      <c r="AH242" s="71"/>
    </row>
    <row r="243" spans="2:34" x14ac:dyDescent="0.2">
      <c r="B243" s="73"/>
      <c r="AD243" s="73"/>
      <c r="AE243" s="73"/>
      <c r="AG243" s="73"/>
      <c r="AH243" s="73"/>
    </row>
    <row r="244" spans="2:34" x14ac:dyDescent="0.2">
      <c r="B244" s="71"/>
      <c r="AD244" s="71"/>
      <c r="AE244" s="71"/>
      <c r="AG244" s="71"/>
      <c r="AH244" s="71"/>
    </row>
    <row r="245" spans="2:34" x14ac:dyDescent="0.2">
      <c r="B245" s="71"/>
      <c r="AD245" s="71"/>
      <c r="AE245" s="71"/>
      <c r="AG245" s="71"/>
      <c r="AH245" s="71"/>
    </row>
    <row r="246" spans="2:34" x14ac:dyDescent="0.2">
      <c r="B246" s="71"/>
      <c r="AD246" s="71"/>
      <c r="AE246" s="71"/>
      <c r="AG246" s="71"/>
      <c r="AH246" s="71"/>
    </row>
    <row r="247" spans="2:34" x14ac:dyDescent="0.2">
      <c r="B247" s="73"/>
      <c r="AD247" s="73"/>
      <c r="AE247" s="73"/>
      <c r="AG247" s="73"/>
      <c r="AH247" s="73"/>
    </row>
    <row r="248" spans="2:34" x14ac:dyDescent="0.2">
      <c r="B248" s="71"/>
      <c r="AD248" s="71"/>
      <c r="AE248" s="71"/>
      <c r="AG248" s="71"/>
      <c r="AH248" s="71"/>
    </row>
    <row r="249" spans="2:34" x14ac:dyDescent="0.2">
      <c r="B249" s="71"/>
      <c r="AD249" s="71"/>
      <c r="AE249" s="71"/>
      <c r="AG249" s="71"/>
      <c r="AH249" s="71"/>
    </row>
    <row r="250" spans="2:34" x14ac:dyDescent="0.2">
      <c r="B250" s="71"/>
      <c r="AD250" s="71"/>
      <c r="AE250" s="71"/>
      <c r="AG250" s="71"/>
      <c r="AH250" s="71"/>
    </row>
    <row r="251" spans="2:34" x14ac:dyDescent="0.2">
      <c r="B251" s="73"/>
      <c r="AD251" s="73"/>
      <c r="AE251" s="73"/>
      <c r="AG251" s="73"/>
      <c r="AH251" s="73"/>
    </row>
    <row r="252" spans="2:34" x14ac:dyDescent="0.2">
      <c r="B252" s="71"/>
      <c r="AD252" s="71"/>
      <c r="AE252" s="71"/>
      <c r="AG252" s="71"/>
      <c r="AH252" s="71"/>
    </row>
    <row r="253" spans="2:34" x14ac:dyDescent="0.2">
      <c r="B253" s="71"/>
      <c r="AD253" s="71"/>
      <c r="AE253" s="71"/>
      <c r="AG253" s="71"/>
      <c r="AH253" s="71"/>
    </row>
    <row r="254" spans="2:34" x14ac:dyDescent="0.2">
      <c r="B254" s="71"/>
      <c r="AD254" s="71"/>
      <c r="AE254" s="71"/>
      <c r="AG254" s="71"/>
      <c r="AH254" s="71"/>
    </row>
    <row r="255" spans="2:34" x14ac:dyDescent="0.2">
      <c r="B255" s="73"/>
      <c r="AD255" s="73"/>
      <c r="AE255" s="73"/>
      <c r="AG255" s="73"/>
      <c r="AH255" s="73"/>
    </row>
    <row r="256" spans="2:34" x14ac:dyDescent="0.2">
      <c r="B256" s="71"/>
      <c r="AD256" s="71"/>
      <c r="AE256" s="71"/>
      <c r="AG256" s="71"/>
      <c r="AH256" s="71"/>
    </row>
    <row r="257" spans="2:34" x14ac:dyDescent="0.2">
      <c r="B257" s="71"/>
      <c r="AD257" s="71"/>
      <c r="AE257" s="71"/>
      <c r="AG257" s="71"/>
      <c r="AH257" s="71"/>
    </row>
    <row r="258" spans="2:34" x14ac:dyDescent="0.2">
      <c r="B258" s="71"/>
      <c r="AD258" s="71"/>
      <c r="AE258" s="71"/>
      <c r="AG258" s="71"/>
      <c r="AH258" s="71"/>
    </row>
    <row r="259" spans="2:34" x14ac:dyDescent="0.2">
      <c r="B259" s="73"/>
      <c r="AD259" s="73"/>
      <c r="AE259" s="73"/>
      <c r="AG259" s="73"/>
      <c r="AH259" s="73"/>
    </row>
    <row r="260" spans="2:34" x14ac:dyDescent="0.2">
      <c r="B260" s="71"/>
      <c r="AD260" s="71"/>
      <c r="AE260" s="71"/>
      <c r="AG260" s="71"/>
      <c r="AH260" s="71"/>
    </row>
    <row r="261" spans="2:34" x14ac:dyDescent="0.2">
      <c r="B261" s="71"/>
      <c r="AD261" s="71"/>
      <c r="AE261" s="71"/>
      <c r="AG261" s="71"/>
      <c r="AH261" s="71"/>
    </row>
    <row r="262" spans="2:34" x14ac:dyDescent="0.2">
      <c r="B262" s="71"/>
      <c r="AD262" s="71"/>
      <c r="AE262" s="71"/>
      <c r="AG262" s="71"/>
      <c r="AH262" s="71"/>
    </row>
    <row r="263" spans="2:34" x14ac:dyDescent="0.2">
      <c r="B263" s="73"/>
      <c r="AD263" s="73"/>
      <c r="AE263" s="73"/>
      <c r="AG263" s="73"/>
      <c r="AH263" s="73"/>
    </row>
    <row r="264" spans="2:34" x14ac:dyDescent="0.2">
      <c r="B264" s="71"/>
      <c r="AD264" s="71"/>
      <c r="AE264" s="71"/>
      <c r="AG264" s="71"/>
      <c r="AH264" s="71"/>
    </row>
    <row r="265" spans="2:34" x14ac:dyDescent="0.2">
      <c r="B265" s="71"/>
      <c r="AD265" s="71"/>
      <c r="AE265" s="71"/>
      <c r="AG265" s="71"/>
      <c r="AH265" s="71"/>
    </row>
    <row r="266" spans="2:34" x14ac:dyDescent="0.2">
      <c r="B266" s="71"/>
      <c r="AD266" s="71"/>
      <c r="AE266" s="71"/>
      <c r="AG266" s="71"/>
      <c r="AH266" s="71"/>
    </row>
    <row r="267" spans="2:34" x14ac:dyDescent="0.2">
      <c r="B267" s="73"/>
      <c r="AD267" s="73"/>
      <c r="AE267" s="73"/>
      <c r="AG267" s="73"/>
      <c r="AH267" s="73"/>
    </row>
    <row r="268" spans="2:34" x14ac:dyDescent="0.2">
      <c r="B268" s="71"/>
      <c r="AD268" s="71"/>
      <c r="AE268" s="71"/>
      <c r="AG268" s="71"/>
      <c r="AH268" s="71"/>
    </row>
    <row r="269" spans="2:34" x14ac:dyDescent="0.2">
      <c r="B269" s="71"/>
      <c r="AD269" s="71"/>
      <c r="AE269" s="71"/>
      <c r="AG269" s="71"/>
      <c r="AH269" s="71"/>
    </row>
    <row r="270" spans="2:34" x14ac:dyDescent="0.2">
      <c r="B270" s="71"/>
      <c r="AD270" s="71"/>
      <c r="AE270" s="71"/>
      <c r="AG270" s="71"/>
      <c r="AH270" s="71"/>
    </row>
    <row r="271" spans="2:34" x14ac:dyDescent="0.2">
      <c r="B271" s="73"/>
      <c r="AD271" s="73"/>
      <c r="AE271" s="73"/>
      <c r="AG271" s="73"/>
      <c r="AH271" s="73"/>
    </row>
    <row r="272" spans="2:34" x14ac:dyDescent="0.2">
      <c r="B272" s="71"/>
      <c r="AD272" s="71"/>
      <c r="AE272" s="71"/>
      <c r="AG272" s="71"/>
      <c r="AH272" s="71"/>
    </row>
    <row r="273" spans="2:34" x14ac:dyDescent="0.2">
      <c r="B273" s="71"/>
      <c r="AD273" s="71"/>
      <c r="AE273" s="71"/>
      <c r="AG273" s="71"/>
      <c r="AH273" s="71"/>
    </row>
    <row r="274" spans="2:34" x14ac:dyDescent="0.2">
      <c r="B274" s="71"/>
      <c r="AD274" s="71"/>
      <c r="AE274" s="71"/>
      <c r="AG274" s="71"/>
      <c r="AH274" s="71"/>
    </row>
    <row r="275" spans="2:34" x14ac:dyDescent="0.2">
      <c r="B275" s="73"/>
      <c r="AD275" s="73"/>
      <c r="AE275" s="73"/>
      <c r="AG275" s="73"/>
      <c r="AH275" s="73"/>
    </row>
    <row r="276" spans="2:34" x14ac:dyDescent="0.2">
      <c r="B276" s="71"/>
      <c r="AD276" s="71"/>
      <c r="AE276" s="71"/>
      <c r="AG276" s="71"/>
      <c r="AH276" s="71"/>
    </row>
    <row r="277" spans="2:34" x14ac:dyDescent="0.2">
      <c r="B277" s="71"/>
      <c r="AD277" s="71"/>
      <c r="AE277" s="71"/>
      <c r="AG277" s="71"/>
      <c r="AH277" s="71"/>
    </row>
    <row r="278" spans="2:34" x14ac:dyDescent="0.2">
      <c r="B278" s="71"/>
      <c r="AD278" s="71"/>
      <c r="AE278" s="71"/>
      <c r="AG278" s="71"/>
      <c r="AH278" s="71"/>
    </row>
    <row r="279" spans="2:34" x14ac:dyDescent="0.2">
      <c r="B279" s="73"/>
      <c r="AD279" s="73"/>
      <c r="AE279" s="73"/>
      <c r="AG279" s="73"/>
      <c r="AH279" s="73"/>
    </row>
    <row r="280" spans="2:34" x14ac:dyDescent="0.2">
      <c r="B280" s="71"/>
      <c r="AD280" s="71"/>
      <c r="AE280" s="71"/>
      <c r="AG280" s="71"/>
      <c r="AH280" s="71"/>
    </row>
    <row r="281" spans="2:34" x14ac:dyDescent="0.2">
      <c r="B281" s="71"/>
      <c r="AD281" s="71"/>
      <c r="AE281" s="71"/>
      <c r="AG281" s="71"/>
      <c r="AH281" s="71"/>
    </row>
    <row r="282" spans="2:34" x14ac:dyDescent="0.2">
      <c r="B282" s="71"/>
      <c r="AD282" s="71"/>
      <c r="AE282" s="71"/>
      <c r="AG282" s="71"/>
      <c r="AH282" s="71"/>
    </row>
    <row r="283" spans="2:34" x14ac:dyDescent="0.2">
      <c r="B283" s="73"/>
      <c r="AD283" s="73"/>
      <c r="AE283" s="73"/>
      <c r="AG283" s="73"/>
      <c r="AH283" s="73"/>
    </row>
    <row r="284" spans="2:34" x14ac:dyDescent="0.2">
      <c r="B284" s="71"/>
      <c r="AD284" s="71"/>
      <c r="AE284" s="71"/>
      <c r="AG284" s="71"/>
      <c r="AH284" s="71"/>
    </row>
    <row r="285" spans="2:34" x14ac:dyDescent="0.2">
      <c r="B285" s="71"/>
      <c r="AD285" s="71"/>
      <c r="AE285" s="71"/>
      <c r="AG285" s="71"/>
      <c r="AH285" s="71"/>
    </row>
    <row r="286" spans="2:34" x14ac:dyDescent="0.2">
      <c r="B286" s="71"/>
      <c r="AD286" s="71"/>
      <c r="AE286" s="71"/>
      <c r="AG286" s="71"/>
      <c r="AH286" s="71"/>
    </row>
    <row r="287" spans="2:34" x14ac:dyDescent="0.2">
      <c r="B287" s="73"/>
      <c r="AD287" s="73"/>
      <c r="AE287" s="73"/>
      <c r="AG287" s="73"/>
      <c r="AH287" s="73"/>
    </row>
    <row r="288" spans="2:34" x14ac:dyDescent="0.2">
      <c r="B288" s="71"/>
      <c r="AD288" s="71"/>
      <c r="AE288" s="71"/>
      <c r="AG288" s="71"/>
      <c r="AH288" s="71"/>
    </row>
    <row r="289" spans="2:34" x14ac:dyDescent="0.2">
      <c r="B289" s="71"/>
      <c r="AD289" s="71"/>
      <c r="AE289" s="71"/>
      <c r="AG289" s="71"/>
      <c r="AH289" s="71"/>
    </row>
    <row r="290" spans="2:34" x14ac:dyDescent="0.2">
      <c r="B290" s="71"/>
      <c r="AD290" s="71"/>
      <c r="AE290" s="71"/>
      <c r="AG290" s="71"/>
      <c r="AH290" s="71"/>
    </row>
    <row r="291" spans="2:34" x14ac:dyDescent="0.2">
      <c r="B291" s="73"/>
      <c r="AD291" s="73"/>
      <c r="AE291" s="73"/>
      <c r="AG291" s="73"/>
      <c r="AH291" s="73"/>
    </row>
    <row r="292" spans="2:34" x14ac:dyDescent="0.2">
      <c r="B292" s="71"/>
      <c r="AD292" s="71"/>
      <c r="AE292" s="71"/>
      <c r="AG292" s="71"/>
      <c r="AH292" s="71"/>
    </row>
    <row r="293" spans="2:34" x14ac:dyDescent="0.2">
      <c r="B293" s="71"/>
      <c r="AD293" s="71"/>
      <c r="AE293" s="71"/>
      <c r="AG293" s="71"/>
      <c r="AH293" s="71"/>
    </row>
    <row r="294" spans="2:34" x14ac:dyDescent="0.2">
      <c r="B294" s="71"/>
      <c r="AD294" s="71"/>
      <c r="AE294" s="71"/>
      <c r="AG294" s="71"/>
      <c r="AH294" s="71"/>
    </row>
    <row r="295" spans="2:34" x14ac:dyDescent="0.2">
      <c r="B295" s="73"/>
      <c r="AD295" s="73"/>
      <c r="AE295" s="73"/>
      <c r="AG295" s="73"/>
      <c r="AH295" s="73"/>
    </row>
    <row r="296" spans="2:34" x14ac:dyDescent="0.2">
      <c r="B296" s="71"/>
      <c r="AD296" s="71"/>
      <c r="AE296" s="71"/>
      <c r="AG296" s="71"/>
      <c r="AH296" s="71"/>
    </row>
    <row r="297" spans="2:34" x14ac:dyDescent="0.2">
      <c r="B297" s="71"/>
      <c r="AD297" s="71"/>
      <c r="AE297" s="71"/>
      <c r="AG297" s="71"/>
      <c r="AH297" s="71"/>
    </row>
    <row r="298" spans="2:34" x14ac:dyDescent="0.2">
      <c r="B298" s="71"/>
      <c r="AD298" s="71"/>
      <c r="AE298" s="71"/>
      <c r="AG298" s="71"/>
      <c r="AH298" s="71"/>
    </row>
    <row r="299" spans="2:34" x14ac:dyDescent="0.2">
      <c r="B299" s="73"/>
      <c r="AD299" s="73"/>
      <c r="AE299" s="73"/>
      <c r="AG299" s="73"/>
      <c r="AH299" s="73"/>
    </row>
    <row r="300" spans="2:34" x14ac:dyDescent="0.2">
      <c r="B300" s="71"/>
      <c r="AD300" s="71"/>
      <c r="AE300" s="71"/>
      <c r="AG300" s="71"/>
      <c r="AH300" s="71"/>
    </row>
    <row r="301" spans="2:34" x14ac:dyDescent="0.2">
      <c r="B301" s="71"/>
      <c r="AD301" s="71"/>
      <c r="AE301" s="71"/>
      <c r="AG301" s="71"/>
      <c r="AH301" s="71"/>
    </row>
    <row r="302" spans="2:34" x14ac:dyDescent="0.2">
      <c r="B302" s="71"/>
      <c r="AD302" s="71"/>
      <c r="AE302" s="71"/>
      <c r="AG302" s="71"/>
      <c r="AH302" s="71"/>
    </row>
    <row r="303" spans="2:34" x14ac:dyDescent="0.2">
      <c r="B303" s="73"/>
      <c r="AD303" s="73"/>
      <c r="AE303" s="73"/>
      <c r="AG303" s="73"/>
      <c r="AH303" s="73"/>
    </row>
    <row r="304" spans="2:34" x14ac:dyDescent="0.2">
      <c r="B304" s="71"/>
      <c r="AD304" s="71"/>
      <c r="AE304" s="71"/>
      <c r="AG304" s="71"/>
      <c r="AH304" s="71"/>
    </row>
    <row r="305" spans="2:34" x14ac:dyDescent="0.2">
      <c r="B305" s="71"/>
      <c r="AD305" s="71"/>
      <c r="AE305" s="71"/>
      <c r="AG305" s="71"/>
      <c r="AH305" s="71"/>
    </row>
    <row r="306" spans="2:34" x14ac:dyDescent="0.2">
      <c r="B306" s="71"/>
      <c r="AD306" s="71"/>
      <c r="AE306" s="71"/>
      <c r="AG306" s="71"/>
      <c r="AH306" s="71"/>
    </row>
    <row r="307" spans="2:34" x14ac:dyDescent="0.2">
      <c r="B307" s="73"/>
      <c r="AD307" s="73"/>
      <c r="AE307" s="73"/>
      <c r="AG307" s="73"/>
      <c r="AH307" s="73"/>
    </row>
    <row r="308" spans="2:34" x14ac:dyDescent="0.2">
      <c r="B308" s="71"/>
      <c r="AD308" s="71"/>
      <c r="AE308" s="71"/>
      <c r="AG308" s="71"/>
      <c r="AH308" s="71"/>
    </row>
    <row r="309" spans="2:34" x14ac:dyDescent="0.2">
      <c r="B309" s="71"/>
      <c r="AD309" s="71"/>
      <c r="AE309" s="71"/>
      <c r="AG309" s="71"/>
      <c r="AH309" s="71"/>
    </row>
    <row r="310" spans="2:34" x14ac:dyDescent="0.2">
      <c r="B310" s="71"/>
      <c r="AD310" s="71"/>
      <c r="AE310" s="71"/>
      <c r="AG310" s="71"/>
      <c r="AH310" s="71"/>
    </row>
    <row r="311" spans="2:34" x14ac:dyDescent="0.2">
      <c r="B311" s="73"/>
      <c r="AD311" s="73"/>
      <c r="AE311" s="73"/>
      <c r="AG311" s="73"/>
      <c r="AH311" s="73"/>
    </row>
    <row r="312" spans="2:34" x14ac:dyDescent="0.2">
      <c r="B312" s="71"/>
      <c r="AD312" s="71"/>
      <c r="AE312" s="71"/>
      <c r="AG312" s="71"/>
      <c r="AH312" s="71"/>
    </row>
    <row r="313" spans="2:34" x14ac:dyDescent="0.2">
      <c r="B313" s="71"/>
      <c r="AD313" s="71"/>
      <c r="AE313" s="71"/>
      <c r="AG313" s="71"/>
      <c r="AH313" s="71"/>
    </row>
    <row r="314" spans="2:34" x14ac:dyDescent="0.2">
      <c r="B314" s="71"/>
      <c r="AD314" s="71"/>
      <c r="AE314" s="71"/>
      <c r="AG314" s="71"/>
      <c r="AH314" s="71"/>
    </row>
    <row r="315" spans="2:34" x14ac:dyDescent="0.2">
      <c r="B315" s="73"/>
      <c r="AD315" s="73"/>
      <c r="AE315" s="73"/>
      <c r="AG315" s="73"/>
      <c r="AH315" s="73"/>
    </row>
    <row r="316" spans="2:34" x14ac:dyDescent="0.2">
      <c r="B316" s="71"/>
      <c r="AD316" s="71"/>
      <c r="AE316" s="71"/>
      <c r="AG316" s="71"/>
      <c r="AH316" s="71"/>
    </row>
    <row r="317" spans="2:34" x14ac:dyDescent="0.2">
      <c r="B317" s="71"/>
      <c r="AD317" s="71"/>
      <c r="AE317" s="71"/>
      <c r="AG317" s="71"/>
      <c r="AH317" s="71"/>
    </row>
    <row r="318" spans="2:34" x14ac:dyDescent="0.2">
      <c r="B318" s="71"/>
      <c r="AD318" s="71"/>
      <c r="AE318" s="71"/>
      <c r="AG318" s="71"/>
      <c r="AH318" s="71"/>
    </row>
    <row r="319" spans="2:34" x14ac:dyDescent="0.2">
      <c r="B319" s="73"/>
      <c r="AD319" s="73"/>
      <c r="AE319" s="73"/>
      <c r="AG319" s="73"/>
      <c r="AH319" s="73"/>
    </row>
    <row r="320" spans="2:34" x14ac:dyDescent="0.2">
      <c r="B320" s="71"/>
      <c r="AD320" s="71"/>
      <c r="AE320" s="71"/>
      <c r="AG320" s="71"/>
      <c r="AH320" s="71"/>
    </row>
    <row r="321" spans="2:34" x14ac:dyDescent="0.2">
      <c r="B321" s="71"/>
      <c r="AD321" s="71"/>
      <c r="AE321" s="71"/>
      <c r="AG321" s="71"/>
      <c r="AH321" s="71"/>
    </row>
    <row r="322" spans="2:34" x14ac:dyDescent="0.2">
      <c r="B322" s="71"/>
      <c r="AD322" s="71"/>
      <c r="AE322" s="71"/>
      <c r="AG322" s="71"/>
      <c r="AH322" s="71"/>
    </row>
    <row r="323" spans="2:34" x14ac:dyDescent="0.2">
      <c r="B323" s="73"/>
      <c r="AD323" s="73"/>
      <c r="AE323" s="73"/>
      <c r="AG323" s="73"/>
      <c r="AH323" s="73"/>
    </row>
    <row r="324" spans="2:34" x14ac:dyDescent="0.2">
      <c r="B324" s="71"/>
      <c r="AD324" s="71"/>
      <c r="AE324" s="71"/>
      <c r="AG324" s="71"/>
      <c r="AH324" s="71"/>
    </row>
    <row r="325" spans="2:34" x14ac:dyDescent="0.2">
      <c r="B325" s="71"/>
      <c r="AD325" s="71"/>
      <c r="AE325" s="71"/>
      <c r="AG325" s="71"/>
      <c r="AH325" s="71"/>
    </row>
    <row r="326" spans="2:34" x14ac:dyDescent="0.2">
      <c r="B326" s="71"/>
      <c r="AD326" s="71"/>
      <c r="AE326" s="71"/>
      <c r="AG326" s="71"/>
      <c r="AH326" s="71"/>
    </row>
    <row r="327" spans="2:34" x14ac:dyDescent="0.2">
      <c r="B327" s="73"/>
      <c r="AD327" s="73"/>
      <c r="AE327" s="73"/>
      <c r="AG327" s="73"/>
      <c r="AH327" s="73"/>
    </row>
    <row r="328" spans="2:34" x14ac:dyDescent="0.2">
      <c r="B328" s="71"/>
      <c r="AD328" s="71"/>
      <c r="AE328" s="71"/>
      <c r="AG328" s="71"/>
      <c r="AH328" s="71"/>
    </row>
    <row r="329" spans="2:34" x14ac:dyDescent="0.2">
      <c r="B329" s="71"/>
      <c r="AD329" s="71"/>
      <c r="AE329" s="71"/>
      <c r="AG329" s="71"/>
      <c r="AH329" s="71"/>
    </row>
    <row r="330" spans="2:34" x14ac:dyDescent="0.2">
      <c r="B330" s="71"/>
      <c r="AD330" s="71"/>
      <c r="AE330" s="71"/>
      <c r="AG330" s="71"/>
      <c r="AH330" s="71"/>
    </row>
    <row r="331" spans="2:34" x14ac:dyDescent="0.2">
      <c r="B331" s="73"/>
      <c r="AD331" s="73"/>
      <c r="AE331" s="73"/>
      <c r="AG331" s="73"/>
      <c r="AH331" s="73"/>
    </row>
    <row r="332" spans="2:34" x14ac:dyDescent="0.2">
      <c r="B332" s="71"/>
      <c r="AD332" s="71"/>
      <c r="AE332" s="71"/>
      <c r="AG332" s="71"/>
      <c r="AH332" s="71"/>
    </row>
    <row r="333" spans="2:34" x14ac:dyDescent="0.2">
      <c r="B333" s="71"/>
      <c r="AD333" s="71"/>
      <c r="AE333" s="71"/>
      <c r="AG333" s="71"/>
      <c r="AH333" s="71"/>
    </row>
    <row r="334" spans="2:34" x14ac:dyDescent="0.2">
      <c r="B334" s="71"/>
      <c r="AD334" s="71"/>
      <c r="AE334" s="71"/>
      <c r="AG334" s="71"/>
      <c r="AH334" s="71"/>
    </row>
    <row r="335" spans="2:34" x14ac:dyDescent="0.2">
      <c r="B335" s="73"/>
      <c r="AD335" s="73"/>
      <c r="AE335" s="73"/>
      <c r="AG335" s="73"/>
      <c r="AH335" s="73"/>
    </row>
    <row r="336" spans="2:34" x14ac:dyDescent="0.2">
      <c r="B336" s="71"/>
      <c r="AD336" s="71"/>
      <c r="AE336" s="71"/>
      <c r="AG336" s="71"/>
      <c r="AH336" s="71"/>
    </row>
    <row r="337" spans="2:34" x14ac:dyDescent="0.2">
      <c r="B337" s="71"/>
      <c r="AD337" s="71"/>
      <c r="AE337" s="71"/>
      <c r="AG337" s="71"/>
      <c r="AH337" s="71"/>
    </row>
    <row r="338" spans="2:34" x14ac:dyDescent="0.2">
      <c r="B338" s="71"/>
      <c r="AD338" s="71"/>
      <c r="AE338" s="71"/>
      <c r="AG338" s="71"/>
      <c r="AH338" s="71"/>
    </row>
    <row r="339" spans="2:34" x14ac:dyDescent="0.2">
      <c r="B339" s="73"/>
      <c r="AD339" s="73"/>
      <c r="AE339" s="73"/>
      <c r="AG339" s="73"/>
      <c r="AH339" s="73"/>
    </row>
    <row r="340" spans="2:34" x14ac:dyDescent="0.2">
      <c r="B340" s="71"/>
      <c r="AD340" s="71"/>
      <c r="AE340" s="71"/>
      <c r="AG340" s="71"/>
      <c r="AH340" s="71"/>
    </row>
    <row r="341" spans="2:34" x14ac:dyDescent="0.2">
      <c r="B341" s="71"/>
      <c r="AD341" s="71"/>
      <c r="AE341" s="71"/>
      <c r="AG341" s="71"/>
      <c r="AH341" s="71"/>
    </row>
    <row r="342" spans="2:34" x14ac:dyDescent="0.2">
      <c r="B342" s="71"/>
      <c r="AD342" s="71"/>
      <c r="AE342" s="71"/>
      <c r="AG342" s="71"/>
      <c r="AH342" s="71"/>
    </row>
    <row r="343" spans="2:34" x14ac:dyDescent="0.2">
      <c r="B343" s="73"/>
      <c r="AD343" s="73"/>
      <c r="AE343" s="73"/>
      <c r="AG343" s="73"/>
      <c r="AH343" s="73"/>
    </row>
    <row r="344" spans="2:34" x14ac:dyDescent="0.2">
      <c r="B344" s="71"/>
      <c r="AD344" s="71"/>
      <c r="AE344" s="71"/>
      <c r="AG344" s="71"/>
      <c r="AH344" s="71"/>
    </row>
    <row r="345" spans="2:34" x14ac:dyDescent="0.2">
      <c r="B345" s="71"/>
      <c r="AD345" s="71"/>
      <c r="AE345" s="71"/>
      <c r="AG345" s="71"/>
      <c r="AH345" s="71"/>
    </row>
    <row r="346" spans="2:34" x14ac:dyDescent="0.2">
      <c r="B346" s="71"/>
      <c r="AD346" s="71"/>
      <c r="AE346" s="71"/>
      <c r="AG346" s="71"/>
      <c r="AH346" s="71"/>
    </row>
    <row r="347" spans="2:34" x14ac:dyDescent="0.2">
      <c r="B347" s="73"/>
      <c r="AD347" s="73"/>
      <c r="AE347" s="73"/>
      <c r="AG347" s="73"/>
      <c r="AH347" s="73"/>
    </row>
    <row r="348" spans="2:34" x14ac:dyDescent="0.2">
      <c r="B348" s="71"/>
      <c r="AD348" s="71"/>
      <c r="AE348" s="71"/>
      <c r="AG348" s="71"/>
      <c r="AH348" s="71"/>
    </row>
    <row r="349" spans="2:34" x14ac:dyDescent="0.2">
      <c r="B349" s="71"/>
      <c r="AD349" s="71"/>
      <c r="AE349" s="71"/>
      <c r="AG349" s="71"/>
      <c r="AH349" s="71"/>
    </row>
    <row r="350" spans="2:34" x14ac:dyDescent="0.2">
      <c r="B350" s="71"/>
      <c r="AD350" s="71"/>
      <c r="AE350" s="71"/>
      <c r="AG350" s="71"/>
      <c r="AH350" s="71"/>
    </row>
    <row r="351" spans="2:34" x14ac:dyDescent="0.2">
      <c r="B351" s="73"/>
      <c r="AD351" s="73"/>
      <c r="AE351" s="73"/>
      <c r="AG351" s="73"/>
      <c r="AH351" s="73"/>
    </row>
    <row r="352" spans="2:34" x14ac:dyDescent="0.2">
      <c r="B352" s="71"/>
      <c r="AD352" s="71"/>
      <c r="AE352" s="71"/>
      <c r="AG352" s="71"/>
      <c r="AH352" s="71"/>
    </row>
    <row r="353" spans="2:34" x14ac:dyDescent="0.2">
      <c r="B353" s="71"/>
      <c r="AD353" s="71"/>
      <c r="AE353" s="71"/>
      <c r="AG353" s="71"/>
      <c r="AH353" s="71"/>
    </row>
    <row r="354" spans="2:34" x14ac:dyDescent="0.2">
      <c r="B354" s="71"/>
      <c r="AD354" s="71"/>
      <c r="AE354" s="71"/>
      <c r="AG354" s="71"/>
      <c r="AH354" s="71"/>
    </row>
    <row r="355" spans="2:34" x14ac:dyDescent="0.2">
      <c r="B355" s="73"/>
      <c r="AD355" s="73"/>
      <c r="AE355" s="73"/>
      <c r="AG355" s="73"/>
      <c r="AH355" s="73"/>
    </row>
    <row r="356" spans="2:34" x14ac:dyDescent="0.2">
      <c r="B356" s="71"/>
      <c r="AD356" s="71"/>
      <c r="AE356" s="71"/>
      <c r="AG356" s="71"/>
      <c r="AH356" s="71"/>
    </row>
    <row r="357" spans="2:34" x14ac:dyDescent="0.2">
      <c r="B357" s="71"/>
      <c r="AD357" s="71"/>
      <c r="AE357" s="71"/>
      <c r="AG357" s="71"/>
      <c r="AH357" s="71"/>
    </row>
    <row r="358" spans="2:34" x14ac:dyDescent="0.2">
      <c r="B358" s="71"/>
      <c r="AD358" s="71"/>
      <c r="AE358" s="71"/>
      <c r="AG358" s="71"/>
      <c r="AH358" s="71"/>
    </row>
    <row r="359" spans="2:34" x14ac:dyDescent="0.2">
      <c r="B359" s="73"/>
      <c r="AD359" s="73"/>
      <c r="AE359" s="73"/>
      <c r="AG359" s="73"/>
      <c r="AH359" s="73"/>
    </row>
    <row r="360" spans="2:34" x14ac:dyDescent="0.2">
      <c r="B360" s="71"/>
      <c r="AD360" s="71"/>
      <c r="AE360" s="71"/>
      <c r="AG360" s="71"/>
      <c r="AH360" s="71"/>
    </row>
    <row r="361" spans="2:34" x14ac:dyDescent="0.2">
      <c r="B361" s="71"/>
      <c r="AD361" s="71"/>
      <c r="AE361" s="71"/>
      <c r="AG361" s="71"/>
      <c r="AH361" s="71"/>
    </row>
    <row r="362" spans="2:34" x14ac:dyDescent="0.2">
      <c r="B362" s="71"/>
      <c r="AD362" s="71"/>
      <c r="AE362" s="71"/>
      <c r="AG362" s="71"/>
      <c r="AH362" s="71"/>
    </row>
    <row r="363" spans="2:34" x14ac:dyDescent="0.2">
      <c r="B363" s="73"/>
      <c r="AD363" s="73"/>
      <c r="AE363" s="73"/>
      <c r="AG363" s="73"/>
      <c r="AH363" s="73"/>
    </row>
    <row r="364" spans="2:34" x14ac:dyDescent="0.2">
      <c r="B364" s="71"/>
      <c r="AD364" s="71"/>
      <c r="AE364" s="71"/>
      <c r="AG364" s="71"/>
      <c r="AH364" s="71"/>
    </row>
    <row r="365" spans="2:34" x14ac:dyDescent="0.2">
      <c r="B365" s="71"/>
      <c r="AD365" s="71"/>
      <c r="AE365" s="71"/>
      <c r="AG365" s="71"/>
      <c r="AH365" s="71"/>
    </row>
    <row r="366" spans="2:34" x14ac:dyDescent="0.2">
      <c r="B366" s="71"/>
      <c r="AD366" s="71"/>
      <c r="AE366" s="71"/>
      <c r="AG366" s="71"/>
      <c r="AH366" s="71"/>
    </row>
    <row r="367" spans="2:34" x14ac:dyDescent="0.2">
      <c r="B367" s="73"/>
      <c r="AD367" s="73"/>
      <c r="AE367" s="73"/>
      <c r="AG367" s="73"/>
      <c r="AH367" s="73"/>
    </row>
    <row r="368" spans="2:34" x14ac:dyDescent="0.2">
      <c r="B368" s="71"/>
      <c r="AD368" s="71"/>
      <c r="AE368" s="71"/>
      <c r="AG368" s="71"/>
      <c r="AH368" s="71"/>
    </row>
    <row r="369" spans="2:34" x14ac:dyDescent="0.2">
      <c r="B369" s="71"/>
      <c r="AD369" s="71"/>
      <c r="AE369" s="71"/>
      <c r="AG369" s="71"/>
      <c r="AH369" s="71"/>
    </row>
    <row r="370" spans="2:34" x14ac:dyDescent="0.2">
      <c r="B370" s="71"/>
      <c r="AD370" s="71"/>
      <c r="AE370" s="71"/>
      <c r="AG370" s="71"/>
      <c r="AH370" s="71"/>
    </row>
    <row r="371" spans="2:34" x14ac:dyDescent="0.2">
      <c r="B371" s="73"/>
      <c r="AD371" s="73"/>
      <c r="AE371" s="73"/>
      <c r="AG371" s="73"/>
      <c r="AH371" s="73"/>
    </row>
    <row r="372" spans="2:34" x14ac:dyDescent="0.2">
      <c r="B372" s="71"/>
      <c r="AD372" s="71"/>
      <c r="AE372" s="71"/>
      <c r="AG372" s="71"/>
      <c r="AH372" s="71"/>
    </row>
    <row r="373" spans="2:34" x14ac:dyDescent="0.2">
      <c r="B373" s="71"/>
      <c r="AD373" s="71"/>
      <c r="AE373" s="71"/>
      <c r="AG373" s="71"/>
      <c r="AH373" s="71"/>
    </row>
    <row r="374" spans="2:34" x14ac:dyDescent="0.2">
      <c r="B374" s="71"/>
      <c r="AD374" s="71"/>
      <c r="AE374" s="71"/>
      <c r="AG374" s="71"/>
      <c r="AH374" s="71"/>
    </row>
    <row r="375" spans="2:34" x14ac:dyDescent="0.2">
      <c r="B375" s="73"/>
      <c r="AD375" s="73"/>
      <c r="AE375" s="73"/>
      <c r="AG375" s="73"/>
      <c r="AH375" s="73"/>
    </row>
    <row r="376" spans="2:34" x14ac:dyDescent="0.2">
      <c r="B376" s="71"/>
      <c r="AD376" s="71"/>
      <c r="AE376" s="71"/>
      <c r="AG376" s="71"/>
      <c r="AH376" s="71"/>
    </row>
    <row r="377" spans="2:34" x14ac:dyDescent="0.2">
      <c r="B377" s="71"/>
      <c r="AD377" s="71"/>
      <c r="AE377" s="71"/>
      <c r="AG377" s="71"/>
      <c r="AH377" s="71"/>
    </row>
    <row r="378" spans="2:34" x14ac:dyDescent="0.2">
      <c r="B378" s="71"/>
      <c r="AD378" s="71"/>
      <c r="AE378" s="71"/>
      <c r="AG378" s="71"/>
      <c r="AH378" s="71"/>
    </row>
    <row r="379" spans="2:34" x14ac:dyDescent="0.2">
      <c r="B379" s="73"/>
      <c r="AD379" s="73"/>
      <c r="AE379" s="73"/>
      <c r="AG379" s="73"/>
      <c r="AH379" s="73"/>
    </row>
    <row r="380" spans="2:34" x14ac:dyDescent="0.2">
      <c r="B380" s="71"/>
      <c r="AD380" s="71"/>
      <c r="AE380" s="71"/>
      <c r="AG380" s="71"/>
      <c r="AH380" s="71"/>
    </row>
    <row r="381" spans="2:34" x14ac:dyDescent="0.2">
      <c r="B381" s="71"/>
      <c r="AD381" s="71"/>
      <c r="AE381" s="71"/>
      <c r="AG381" s="71"/>
      <c r="AH381" s="71"/>
    </row>
    <row r="382" spans="2:34" x14ac:dyDescent="0.2">
      <c r="B382" s="71"/>
      <c r="AD382" s="71"/>
      <c r="AE382" s="71"/>
      <c r="AG382" s="71"/>
      <c r="AH382" s="71"/>
    </row>
    <row r="383" spans="2:34" x14ac:dyDescent="0.2">
      <c r="B383" s="73"/>
      <c r="AD383" s="73"/>
      <c r="AE383" s="73"/>
      <c r="AG383" s="73"/>
      <c r="AH383" s="73"/>
    </row>
    <row r="384" spans="2:34" x14ac:dyDescent="0.2">
      <c r="B384" s="71"/>
      <c r="AD384" s="71"/>
      <c r="AE384" s="71"/>
      <c r="AG384" s="71"/>
      <c r="AH384" s="71"/>
    </row>
    <row r="385" spans="2:34" x14ac:dyDescent="0.2">
      <c r="B385" s="71"/>
      <c r="AD385" s="71"/>
      <c r="AE385" s="71"/>
      <c r="AG385" s="71"/>
      <c r="AH385" s="71"/>
    </row>
    <row r="386" spans="2:34" x14ac:dyDescent="0.2">
      <c r="B386" s="71"/>
      <c r="AD386" s="71"/>
      <c r="AE386" s="71"/>
      <c r="AG386" s="71"/>
      <c r="AH386" s="71"/>
    </row>
    <row r="387" spans="2:34" x14ac:dyDescent="0.2">
      <c r="B387" s="73"/>
      <c r="AD387" s="73"/>
      <c r="AE387" s="73"/>
      <c r="AG387" s="73"/>
      <c r="AH387" s="73"/>
    </row>
    <row r="388" spans="2:34" x14ac:dyDescent="0.2">
      <c r="B388" s="71"/>
      <c r="AD388" s="71"/>
      <c r="AE388" s="71"/>
      <c r="AG388" s="71"/>
      <c r="AH388" s="71"/>
    </row>
    <row r="389" spans="2:34" x14ac:dyDescent="0.2">
      <c r="B389" s="71"/>
      <c r="AD389" s="71"/>
      <c r="AE389" s="71"/>
      <c r="AG389" s="71"/>
      <c r="AH389" s="71"/>
    </row>
    <row r="390" spans="2:34" x14ac:dyDescent="0.2">
      <c r="B390" s="71"/>
      <c r="AD390" s="71"/>
      <c r="AE390" s="71"/>
      <c r="AG390" s="71"/>
      <c r="AH390" s="71"/>
    </row>
    <row r="391" spans="2:34" x14ac:dyDescent="0.2">
      <c r="B391" s="73"/>
      <c r="AD391" s="73"/>
      <c r="AE391" s="73"/>
      <c r="AG391" s="73"/>
      <c r="AH391" s="73"/>
    </row>
    <row r="392" spans="2:34" x14ac:dyDescent="0.2">
      <c r="B392" s="71"/>
      <c r="AD392" s="71"/>
      <c r="AE392" s="71"/>
      <c r="AG392" s="71"/>
      <c r="AH392" s="71"/>
    </row>
    <row r="393" spans="2:34" x14ac:dyDescent="0.2">
      <c r="B393" s="71"/>
      <c r="AD393" s="71"/>
      <c r="AE393" s="71"/>
      <c r="AG393" s="71"/>
      <c r="AH393" s="71"/>
    </row>
    <row r="394" spans="2:34" x14ac:dyDescent="0.2">
      <c r="B394" s="71"/>
      <c r="AD394" s="71"/>
      <c r="AE394" s="71"/>
      <c r="AG394" s="71"/>
      <c r="AH394" s="71"/>
    </row>
    <row r="395" spans="2:34" x14ac:dyDescent="0.2">
      <c r="B395" s="73"/>
      <c r="AD395" s="73"/>
      <c r="AE395" s="73"/>
      <c r="AG395" s="73"/>
      <c r="AH395" s="73"/>
    </row>
    <row r="396" spans="2:34" x14ac:dyDescent="0.2">
      <c r="B396" s="71"/>
      <c r="AD396" s="71"/>
      <c r="AE396" s="71"/>
      <c r="AG396" s="71"/>
      <c r="AH396" s="71"/>
    </row>
    <row r="397" spans="2:34" x14ac:dyDescent="0.2">
      <c r="B397" s="71"/>
      <c r="AD397" s="71"/>
      <c r="AE397" s="71"/>
      <c r="AG397" s="71"/>
      <c r="AH397" s="71"/>
    </row>
    <row r="398" spans="2:34" x14ac:dyDescent="0.2">
      <c r="B398" s="71"/>
      <c r="AD398" s="71"/>
      <c r="AE398" s="71"/>
      <c r="AG398" s="71"/>
      <c r="AH398" s="71"/>
    </row>
    <row r="399" spans="2:34" x14ac:dyDescent="0.2">
      <c r="B399" s="73"/>
      <c r="AD399" s="73"/>
      <c r="AE399" s="73"/>
      <c r="AG399" s="73"/>
      <c r="AH399" s="73"/>
    </row>
    <row r="400" spans="2:34" x14ac:dyDescent="0.2">
      <c r="B400" s="71"/>
      <c r="AD400" s="71"/>
      <c r="AE400" s="71"/>
      <c r="AG400" s="71"/>
      <c r="AH400" s="71"/>
    </row>
    <row r="401" spans="2:34" x14ac:dyDescent="0.2">
      <c r="B401" s="71"/>
      <c r="AD401" s="71"/>
      <c r="AE401" s="71"/>
      <c r="AG401" s="71"/>
      <c r="AH401" s="71"/>
    </row>
    <row r="402" spans="2:34" x14ac:dyDescent="0.2">
      <c r="B402" s="71"/>
      <c r="AD402" s="71"/>
      <c r="AE402" s="71"/>
      <c r="AG402" s="71"/>
      <c r="AH402" s="71"/>
    </row>
    <row r="403" spans="2:34" x14ac:dyDescent="0.2">
      <c r="B403" s="73"/>
      <c r="AD403" s="73"/>
      <c r="AE403" s="73"/>
      <c r="AG403" s="73"/>
      <c r="AH403" s="73"/>
    </row>
    <row r="404" spans="2:34" x14ac:dyDescent="0.2">
      <c r="B404" s="71"/>
      <c r="AD404" s="71"/>
      <c r="AE404" s="71"/>
      <c r="AG404" s="71"/>
      <c r="AH404" s="71"/>
    </row>
    <row r="405" spans="2:34" x14ac:dyDescent="0.2">
      <c r="B405" s="71"/>
      <c r="AD405" s="71"/>
      <c r="AE405" s="71"/>
      <c r="AG405" s="71"/>
      <c r="AH405" s="71"/>
    </row>
    <row r="406" spans="2:34" x14ac:dyDescent="0.2">
      <c r="B406" s="71"/>
      <c r="AD406" s="71"/>
      <c r="AE406" s="71"/>
      <c r="AG406" s="71"/>
      <c r="AH406" s="71"/>
    </row>
    <row r="407" spans="2:34" x14ac:dyDescent="0.2">
      <c r="B407" s="73"/>
      <c r="AD407" s="73"/>
      <c r="AE407" s="73"/>
      <c r="AG407" s="73"/>
      <c r="AH407" s="73"/>
    </row>
    <row r="408" spans="2:34" x14ac:dyDescent="0.2">
      <c r="B408" s="71"/>
      <c r="AD408" s="71"/>
      <c r="AE408" s="71"/>
      <c r="AG408" s="71"/>
      <c r="AH408" s="71"/>
    </row>
    <row r="409" spans="2:34" x14ac:dyDescent="0.2">
      <c r="B409" s="71"/>
      <c r="AD409" s="71"/>
      <c r="AE409" s="71"/>
      <c r="AG409" s="71"/>
      <c r="AH409" s="71"/>
    </row>
    <row r="410" spans="2:34" x14ac:dyDescent="0.2">
      <c r="B410" s="71"/>
      <c r="AD410" s="71"/>
      <c r="AE410" s="71"/>
      <c r="AG410" s="71"/>
      <c r="AH410" s="71"/>
    </row>
    <row r="411" spans="2:34" x14ac:dyDescent="0.2">
      <c r="B411" s="73"/>
      <c r="AD411" s="73"/>
      <c r="AE411" s="73"/>
      <c r="AG411" s="73"/>
      <c r="AH411" s="73"/>
    </row>
    <row r="412" spans="2:34" x14ac:dyDescent="0.2">
      <c r="B412" s="71"/>
      <c r="AD412" s="71"/>
      <c r="AE412" s="71"/>
      <c r="AG412" s="71"/>
      <c r="AH412" s="71"/>
    </row>
    <row r="413" spans="2:34" x14ac:dyDescent="0.2">
      <c r="B413" s="71"/>
      <c r="AD413" s="71"/>
      <c r="AE413" s="71"/>
      <c r="AG413" s="71"/>
      <c r="AH413" s="71"/>
    </row>
    <row r="414" spans="2:34" x14ac:dyDescent="0.2">
      <c r="B414" s="71"/>
      <c r="AD414" s="71"/>
      <c r="AE414" s="71"/>
      <c r="AG414" s="71"/>
      <c r="AH414" s="71"/>
    </row>
    <row r="415" spans="2:34" x14ac:dyDescent="0.2">
      <c r="B415" s="73"/>
      <c r="AD415" s="73"/>
      <c r="AE415" s="73"/>
      <c r="AG415" s="73"/>
      <c r="AH415" s="73"/>
    </row>
    <row r="416" spans="2:34" x14ac:dyDescent="0.2">
      <c r="B416" s="71"/>
      <c r="AD416" s="71"/>
      <c r="AE416" s="71"/>
      <c r="AG416" s="71"/>
      <c r="AH416" s="71"/>
    </row>
    <row r="417" spans="2:34" x14ac:dyDescent="0.2">
      <c r="B417" s="71"/>
      <c r="AD417" s="71"/>
      <c r="AE417" s="71"/>
      <c r="AG417" s="71"/>
      <c r="AH417" s="71"/>
    </row>
    <row r="418" spans="2:34" x14ac:dyDescent="0.2">
      <c r="B418" s="71"/>
      <c r="AD418" s="71"/>
      <c r="AE418" s="71"/>
      <c r="AG418" s="71"/>
      <c r="AH418" s="71"/>
    </row>
    <row r="419" spans="2:34" x14ac:dyDescent="0.2">
      <c r="B419" s="73"/>
      <c r="AD419" s="73"/>
      <c r="AE419" s="73"/>
      <c r="AG419" s="73"/>
      <c r="AH419" s="73"/>
    </row>
    <row r="420" spans="2:34" x14ac:dyDescent="0.2">
      <c r="B420" s="71"/>
      <c r="AD420" s="71"/>
      <c r="AE420" s="71"/>
      <c r="AG420" s="71"/>
      <c r="AH420" s="71"/>
    </row>
    <row r="421" spans="2:34" x14ac:dyDescent="0.2">
      <c r="B421" s="71"/>
      <c r="AD421" s="71"/>
      <c r="AE421" s="71"/>
      <c r="AG421" s="71"/>
      <c r="AH421" s="71"/>
    </row>
    <row r="422" spans="2:34" x14ac:dyDescent="0.2">
      <c r="B422" s="71"/>
      <c r="AD422" s="71"/>
      <c r="AE422" s="71"/>
      <c r="AG422" s="71"/>
      <c r="AH422" s="71"/>
    </row>
    <row r="423" spans="2:34" x14ac:dyDescent="0.2">
      <c r="B423" s="73"/>
      <c r="AD423" s="73"/>
      <c r="AE423" s="73"/>
      <c r="AG423" s="73"/>
      <c r="AH423" s="73"/>
    </row>
    <row r="424" spans="2:34" x14ac:dyDescent="0.2">
      <c r="B424" s="71"/>
      <c r="AD424" s="71"/>
      <c r="AE424" s="71"/>
      <c r="AG424" s="71"/>
      <c r="AH424" s="71"/>
    </row>
    <row r="425" spans="2:34" x14ac:dyDescent="0.2">
      <c r="B425" s="71"/>
      <c r="AD425" s="71"/>
      <c r="AE425" s="71"/>
      <c r="AG425" s="71"/>
      <c r="AH425" s="71"/>
    </row>
    <row r="426" spans="2:34" x14ac:dyDescent="0.2">
      <c r="B426" s="71"/>
      <c r="AD426" s="71"/>
      <c r="AE426" s="71"/>
      <c r="AG426" s="71"/>
      <c r="AH426" s="71"/>
    </row>
    <row r="427" spans="2:34" x14ac:dyDescent="0.2">
      <c r="B427" s="73"/>
      <c r="AD427" s="73"/>
      <c r="AE427" s="73"/>
      <c r="AG427" s="73"/>
      <c r="AH427" s="73"/>
    </row>
    <row r="428" spans="2:34" x14ac:dyDescent="0.2">
      <c r="B428" s="71"/>
      <c r="AD428" s="71"/>
      <c r="AE428" s="71"/>
      <c r="AG428" s="71"/>
      <c r="AH428" s="71"/>
    </row>
    <row r="429" spans="2:34" x14ac:dyDescent="0.2">
      <c r="B429" s="71"/>
      <c r="AD429" s="71"/>
      <c r="AE429" s="71"/>
      <c r="AG429" s="71"/>
      <c r="AH429" s="71"/>
    </row>
    <row r="430" spans="2:34" x14ac:dyDescent="0.2">
      <c r="B430" s="71"/>
      <c r="AD430" s="71"/>
      <c r="AE430" s="71"/>
      <c r="AG430" s="71"/>
      <c r="AH430" s="71"/>
    </row>
    <row r="431" spans="2:34" x14ac:dyDescent="0.2">
      <c r="B431" s="73"/>
      <c r="AD431" s="73"/>
      <c r="AE431" s="73"/>
      <c r="AG431" s="73"/>
      <c r="AH431" s="73"/>
    </row>
    <row r="432" spans="2:34" x14ac:dyDescent="0.2">
      <c r="B432" s="71"/>
      <c r="AD432" s="71"/>
      <c r="AE432" s="71"/>
      <c r="AG432" s="71"/>
      <c r="AH432" s="71"/>
    </row>
    <row r="433" spans="2:34" x14ac:dyDescent="0.2">
      <c r="B433" s="71"/>
      <c r="AD433" s="71"/>
      <c r="AE433" s="71"/>
      <c r="AG433" s="71"/>
      <c r="AH433" s="71"/>
    </row>
    <row r="434" spans="2:34" x14ac:dyDescent="0.2">
      <c r="B434" s="71"/>
      <c r="AD434" s="71"/>
      <c r="AE434" s="71"/>
      <c r="AG434" s="71"/>
      <c r="AH434" s="71"/>
    </row>
    <row r="435" spans="2:34" x14ac:dyDescent="0.2">
      <c r="B435" s="73"/>
      <c r="AD435" s="73"/>
      <c r="AE435" s="73"/>
      <c r="AG435" s="73"/>
      <c r="AH435" s="73"/>
    </row>
    <row r="436" spans="2:34" x14ac:dyDescent="0.2">
      <c r="B436" s="71"/>
      <c r="AD436" s="71"/>
      <c r="AE436" s="71"/>
      <c r="AG436" s="71"/>
      <c r="AH436" s="71"/>
    </row>
    <row r="437" spans="2:34" x14ac:dyDescent="0.2">
      <c r="B437" s="71"/>
      <c r="AD437" s="71"/>
      <c r="AE437" s="71"/>
      <c r="AG437" s="71"/>
      <c r="AH437" s="71"/>
    </row>
    <row r="438" spans="2:34" x14ac:dyDescent="0.2">
      <c r="B438" s="71"/>
      <c r="AD438" s="71"/>
      <c r="AE438" s="71"/>
      <c r="AG438" s="71"/>
      <c r="AH438" s="71"/>
    </row>
    <row r="439" spans="2:34" x14ac:dyDescent="0.2">
      <c r="B439" s="73"/>
      <c r="AD439" s="73"/>
      <c r="AE439" s="73"/>
      <c r="AG439" s="73"/>
      <c r="AH439" s="73"/>
    </row>
    <row r="440" spans="2:34" x14ac:dyDescent="0.2">
      <c r="B440" s="71"/>
      <c r="AD440" s="71"/>
      <c r="AE440" s="71"/>
      <c r="AG440" s="71"/>
      <c r="AH440" s="71"/>
    </row>
    <row r="441" spans="2:34" x14ac:dyDescent="0.2">
      <c r="B441" s="71"/>
      <c r="AD441" s="71"/>
      <c r="AE441" s="71"/>
      <c r="AG441" s="71"/>
      <c r="AH441" s="71"/>
    </row>
    <row r="442" spans="2:34" x14ac:dyDescent="0.2">
      <c r="B442" s="71"/>
      <c r="AD442" s="71"/>
      <c r="AE442" s="71"/>
      <c r="AG442" s="71"/>
      <c r="AH442" s="71"/>
    </row>
    <row r="443" spans="2:34" x14ac:dyDescent="0.2">
      <c r="B443" s="73"/>
      <c r="AD443" s="73"/>
      <c r="AE443" s="73"/>
      <c r="AG443" s="73"/>
      <c r="AH443" s="73"/>
    </row>
    <row r="444" spans="2:34" x14ac:dyDescent="0.2">
      <c r="B444" s="71"/>
      <c r="AD444" s="71"/>
      <c r="AE444" s="71"/>
      <c r="AG444" s="71"/>
      <c r="AH444" s="71"/>
    </row>
    <row r="445" spans="2:34" x14ac:dyDescent="0.2">
      <c r="B445" s="71"/>
      <c r="AD445" s="71"/>
      <c r="AE445" s="71"/>
      <c r="AG445" s="71"/>
      <c r="AH445" s="71"/>
    </row>
    <row r="446" spans="2:34" x14ac:dyDescent="0.2">
      <c r="B446" s="71"/>
      <c r="AD446" s="71"/>
      <c r="AE446" s="71"/>
      <c r="AG446" s="71"/>
      <c r="AH446" s="71"/>
    </row>
    <row r="447" spans="2:34" x14ac:dyDescent="0.2">
      <c r="B447" s="73"/>
      <c r="AD447" s="73"/>
      <c r="AE447" s="73"/>
      <c r="AG447" s="73"/>
      <c r="AH447" s="73"/>
    </row>
    <row r="448" spans="2:34" x14ac:dyDescent="0.2">
      <c r="B448" s="71"/>
      <c r="AD448" s="71"/>
      <c r="AE448" s="71"/>
      <c r="AG448" s="71"/>
      <c r="AH448" s="71"/>
    </row>
    <row r="449" spans="2:34" x14ac:dyDescent="0.2">
      <c r="B449" s="71"/>
      <c r="AD449" s="71"/>
      <c r="AE449" s="71"/>
      <c r="AG449" s="71"/>
      <c r="AH449" s="71"/>
    </row>
    <row r="450" spans="2:34" x14ac:dyDescent="0.2">
      <c r="B450" s="71"/>
      <c r="AD450" s="71"/>
      <c r="AE450" s="71"/>
      <c r="AG450" s="71"/>
      <c r="AH450" s="71"/>
    </row>
    <row r="451" spans="2:34" x14ac:dyDescent="0.2">
      <c r="B451" s="73"/>
      <c r="AD451" s="73"/>
      <c r="AE451" s="73"/>
      <c r="AG451" s="73"/>
      <c r="AH451" s="73"/>
    </row>
    <row r="452" spans="2:34" x14ac:dyDescent="0.2">
      <c r="B452" s="71"/>
      <c r="AD452" s="71"/>
      <c r="AE452" s="71"/>
      <c r="AG452" s="71"/>
      <c r="AH452" s="71"/>
    </row>
    <row r="453" spans="2:34" x14ac:dyDescent="0.2">
      <c r="B453" s="71"/>
      <c r="AD453" s="71"/>
      <c r="AE453" s="71"/>
      <c r="AG453" s="71"/>
      <c r="AH453" s="71"/>
    </row>
    <row r="454" spans="2:34" x14ac:dyDescent="0.2">
      <c r="B454" s="71"/>
      <c r="AD454" s="71"/>
      <c r="AE454" s="71"/>
      <c r="AG454" s="71"/>
      <c r="AH454" s="71"/>
    </row>
    <row r="455" spans="2:34" x14ac:dyDescent="0.2">
      <c r="B455" s="73"/>
      <c r="AD455" s="73"/>
      <c r="AE455" s="73"/>
      <c r="AG455" s="73"/>
      <c r="AH455" s="73"/>
    </row>
    <row r="456" spans="2:34" x14ac:dyDescent="0.2">
      <c r="B456" s="71"/>
      <c r="AD456" s="71"/>
      <c r="AE456" s="71"/>
      <c r="AG456" s="71"/>
      <c r="AH456" s="71"/>
    </row>
    <row r="457" spans="2:34" x14ac:dyDescent="0.2">
      <c r="B457" s="71"/>
      <c r="AD457" s="71"/>
      <c r="AE457" s="71"/>
      <c r="AG457" s="71"/>
      <c r="AH457" s="71"/>
    </row>
    <row r="458" spans="2:34" x14ac:dyDescent="0.2">
      <c r="B458" s="71"/>
      <c r="AD458" s="71"/>
      <c r="AE458" s="71"/>
      <c r="AG458" s="71"/>
      <c r="AH458" s="71"/>
    </row>
    <row r="459" spans="2:34" x14ac:dyDescent="0.2">
      <c r="B459" s="73"/>
      <c r="AD459" s="73"/>
      <c r="AE459" s="73"/>
      <c r="AG459" s="73"/>
      <c r="AH459" s="73"/>
    </row>
    <row r="460" spans="2:34" x14ac:dyDescent="0.2">
      <c r="B460" s="71"/>
      <c r="AD460" s="71"/>
      <c r="AE460" s="71"/>
      <c r="AG460" s="71"/>
      <c r="AH460" s="71"/>
    </row>
    <row r="461" spans="2:34" x14ac:dyDescent="0.2">
      <c r="B461" s="71"/>
      <c r="AD461" s="71"/>
      <c r="AE461" s="71"/>
      <c r="AG461" s="71"/>
      <c r="AH461" s="71"/>
    </row>
    <row r="462" spans="2:34" x14ac:dyDescent="0.2">
      <c r="B462" s="71"/>
      <c r="AD462" s="71"/>
      <c r="AE462" s="71"/>
      <c r="AG462" s="71"/>
      <c r="AH462" s="71"/>
    </row>
    <row r="463" spans="2:34" x14ac:dyDescent="0.2">
      <c r="B463" s="73"/>
      <c r="AD463" s="73"/>
      <c r="AE463" s="73"/>
      <c r="AG463" s="73"/>
      <c r="AH463" s="73"/>
    </row>
    <row r="464" spans="2:34" x14ac:dyDescent="0.2">
      <c r="B464" s="71"/>
      <c r="AD464" s="71"/>
      <c r="AE464" s="71"/>
      <c r="AG464" s="71"/>
      <c r="AH464" s="71"/>
    </row>
    <row r="465" spans="2:34" x14ac:dyDescent="0.2">
      <c r="B465" s="71"/>
      <c r="AD465" s="71"/>
      <c r="AE465" s="71"/>
      <c r="AG465" s="71"/>
      <c r="AH465" s="71"/>
    </row>
    <row r="466" spans="2:34" x14ac:dyDescent="0.2">
      <c r="B466" s="71"/>
      <c r="AD466" s="71"/>
      <c r="AE466" s="71"/>
      <c r="AG466" s="71"/>
      <c r="AH466" s="71"/>
    </row>
    <row r="467" spans="2:34" x14ac:dyDescent="0.2">
      <c r="B467" s="73"/>
      <c r="AD467" s="73"/>
      <c r="AE467" s="73"/>
      <c r="AG467" s="73"/>
      <c r="AH467" s="73"/>
    </row>
    <row r="468" spans="2:34" x14ac:dyDescent="0.2">
      <c r="B468" s="71"/>
      <c r="AD468" s="71"/>
      <c r="AE468" s="71"/>
      <c r="AG468" s="71"/>
      <c r="AH468" s="71"/>
    </row>
    <row r="469" spans="2:34" x14ac:dyDescent="0.2">
      <c r="B469" s="71"/>
      <c r="AD469" s="71"/>
      <c r="AE469" s="71"/>
      <c r="AG469" s="71"/>
      <c r="AH469" s="71"/>
    </row>
    <row r="470" spans="2:34" x14ac:dyDescent="0.2">
      <c r="B470" s="71"/>
      <c r="AD470" s="71"/>
      <c r="AE470" s="71"/>
      <c r="AG470" s="71"/>
      <c r="AH470" s="71"/>
    </row>
    <row r="471" spans="2:34" x14ac:dyDescent="0.2">
      <c r="B471" s="73"/>
      <c r="AD471" s="73"/>
      <c r="AE471" s="73"/>
      <c r="AG471" s="73"/>
      <c r="AH471" s="73"/>
    </row>
    <row r="472" spans="2:34" x14ac:dyDescent="0.2">
      <c r="B472" s="71"/>
      <c r="AD472" s="71"/>
      <c r="AE472" s="71"/>
      <c r="AG472" s="71"/>
      <c r="AH472" s="71"/>
    </row>
    <row r="473" spans="2:34" x14ac:dyDescent="0.2">
      <c r="B473" s="71"/>
      <c r="AD473" s="71"/>
      <c r="AE473" s="71"/>
      <c r="AG473" s="71"/>
      <c r="AH473" s="71"/>
    </row>
    <row r="474" spans="2:34" x14ac:dyDescent="0.2">
      <c r="B474" s="71"/>
      <c r="AD474" s="71"/>
      <c r="AE474" s="71"/>
      <c r="AG474" s="71"/>
      <c r="AH474" s="71"/>
    </row>
    <row r="475" spans="2:34" x14ac:dyDescent="0.2">
      <c r="B475" s="73"/>
      <c r="AD475" s="73"/>
      <c r="AE475" s="73"/>
      <c r="AG475" s="73"/>
      <c r="AH475" s="73"/>
    </row>
    <row r="476" spans="2:34" x14ac:dyDescent="0.2">
      <c r="B476" s="71"/>
      <c r="AD476" s="71"/>
      <c r="AE476" s="71"/>
      <c r="AG476" s="71"/>
      <c r="AH476" s="71"/>
    </row>
    <row r="477" spans="2:34" x14ac:dyDescent="0.2">
      <c r="B477" s="71"/>
      <c r="AD477" s="71"/>
      <c r="AE477" s="71"/>
      <c r="AG477" s="71"/>
      <c r="AH477" s="71"/>
    </row>
    <row r="478" spans="2:34" x14ac:dyDescent="0.2">
      <c r="B478" s="71"/>
      <c r="AD478" s="71"/>
      <c r="AE478" s="71"/>
      <c r="AG478" s="71"/>
      <c r="AH478" s="71"/>
    </row>
    <row r="479" spans="2:34" x14ac:dyDescent="0.2">
      <c r="B479" s="73"/>
      <c r="AD479" s="73"/>
      <c r="AE479" s="73"/>
      <c r="AG479" s="73"/>
      <c r="AH479" s="73"/>
    </row>
    <row r="480" spans="2:34" x14ac:dyDescent="0.2">
      <c r="B480" s="71"/>
      <c r="AD480" s="71"/>
      <c r="AE480" s="71"/>
      <c r="AG480" s="71"/>
      <c r="AH480" s="71"/>
    </row>
    <row r="481" spans="2:34" x14ac:dyDescent="0.2">
      <c r="B481" s="71"/>
      <c r="AD481" s="71"/>
      <c r="AE481" s="71"/>
      <c r="AG481" s="71"/>
      <c r="AH481" s="71"/>
    </row>
    <row r="482" spans="2:34" x14ac:dyDescent="0.2">
      <c r="B482" s="71"/>
      <c r="AD482" s="71"/>
      <c r="AE482" s="71"/>
      <c r="AG482" s="71"/>
      <c r="AH482" s="71"/>
    </row>
    <row r="483" spans="2:34" x14ac:dyDescent="0.2">
      <c r="B483" s="73"/>
      <c r="AD483" s="73"/>
      <c r="AE483" s="73"/>
      <c r="AG483" s="73"/>
      <c r="AH483" s="73"/>
    </row>
    <row r="484" spans="2:34" x14ac:dyDescent="0.2">
      <c r="B484" s="71"/>
      <c r="AD484" s="71"/>
      <c r="AE484" s="71"/>
      <c r="AG484" s="71"/>
      <c r="AH484" s="71"/>
    </row>
    <row r="485" spans="2:34" x14ac:dyDescent="0.2">
      <c r="B485" s="71"/>
      <c r="AD485" s="71"/>
      <c r="AE485" s="71"/>
      <c r="AG485" s="71"/>
      <c r="AH485" s="71"/>
    </row>
    <row r="486" spans="2:34" x14ac:dyDescent="0.2">
      <c r="B486" s="71"/>
      <c r="AD486" s="71"/>
      <c r="AE486" s="71"/>
      <c r="AG486" s="71"/>
      <c r="AH486" s="71"/>
    </row>
    <row r="487" spans="2:34" x14ac:dyDescent="0.2">
      <c r="B487" s="73"/>
      <c r="AD487" s="73"/>
      <c r="AE487" s="73"/>
      <c r="AG487" s="73"/>
      <c r="AH487" s="73"/>
    </row>
    <row r="488" spans="2:34" x14ac:dyDescent="0.2">
      <c r="B488" s="71"/>
      <c r="AD488" s="71"/>
      <c r="AE488" s="71"/>
      <c r="AG488" s="71"/>
      <c r="AH488" s="71"/>
    </row>
    <row r="489" spans="2:34" x14ac:dyDescent="0.2">
      <c r="B489" s="71"/>
      <c r="AD489" s="71"/>
      <c r="AE489" s="71"/>
      <c r="AG489" s="71"/>
      <c r="AH489" s="71"/>
    </row>
    <row r="490" spans="2:34" x14ac:dyDescent="0.2">
      <c r="B490" s="71"/>
      <c r="AD490" s="71"/>
      <c r="AE490" s="71"/>
      <c r="AG490" s="71"/>
      <c r="AH490" s="71"/>
    </row>
    <row r="491" spans="2:34" x14ac:dyDescent="0.2">
      <c r="B491" s="73"/>
      <c r="AD491" s="73"/>
      <c r="AE491" s="73"/>
      <c r="AG491" s="73"/>
      <c r="AH491" s="73"/>
    </row>
    <row r="492" spans="2:34" x14ac:dyDescent="0.2">
      <c r="B492" s="71"/>
      <c r="AD492" s="71"/>
      <c r="AE492" s="71"/>
      <c r="AG492" s="71"/>
      <c r="AH492" s="71"/>
    </row>
    <row r="493" spans="2:34" x14ac:dyDescent="0.2">
      <c r="B493" s="71"/>
      <c r="AD493" s="71"/>
      <c r="AE493" s="71"/>
      <c r="AG493" s="71"/>
      <c r="AH493" s="71"/>
    </row>
    <row r="494" spans="2:34" x14ac:dyDescent="0.2">
      <c r="B494" s="71"/>
      <c r="AD494" s="71"/>
      <c r="AE494" s="71"/>
      <c r="AG494" s="71"/>
      <c r="AH494" s="71"/>
    </row>
    <row r="495" spans="2:34" x14ac:dyDescent="0.2">
      <c r="B495" s="73"/>
      <c r="AD495" s="73"/>
      <c r="AE495" s="73"/>
      <c r="AG495" s="73"/>
      <c r="AH495" s="73"/>
    </row>
    <row r="496" spans="2:34" x14ac:dyDescent="0.2">
      <c r="B496" s="71"/>
      <c r="AD496" s="71"/>
      <c r="AE496" s="71"/>
      <c r="AG496" s="71"/>
      <c r="AH496" s="71"/>
    </row>
    <row r="497" spans="2:34" x14ac:dyDescent="0.2">
      <c r="B497" s="71"/>
      <c r="AD497" s="71"/>
      <c r="AE497" s="71"/>
      <c r="AG497" s="71"/>
      <c r="AH497" s="71"/>
    </row>
    <row r="498" spans="2:34" x14ac:dyDescent="0.2">
      <c r="B498" s="71"/>
      <c r="AD498" s="71"/>
      <c r="AE498" s="71"/>
      <c r="AG498" s="71"/>
      <c r="AH498" s="71"/>
    </row>
    <row r="499" spans="2:34" x14ac:dyDescent="0.2">
      <c r="B499" s="73"/>
      <c r="AD499" s="73"/>
      <c r="AE499" s="73"/>
      <c r="AG499" s="73"/>
      <c r="AH499" s="73"/>
    </row>
    <row r="500" spans="2:34" x14ac:dyDescent="0.2">
      <c r="B500" s="71"/>
      <c r="AD500" s="71"/>
      <c r="AE500" s="71"/>
      <c r="AG500" s="71"/>
      <c r="AH500" s="71"/>
    </row>
    <row r="501" spans="2:34" x14ac:dyDescent="0.2">
      <c r="B501" s="71"/>
      <c r="AD501" s="71"/>
      <c r="AE501" s="71"/>
      <c r="AG501" s="71"/>
      <c r="AH501" s="71"/>
    </row>
    <row r="502" spans="2:34" x14ac:dyDescent="0.2">
      <c r="B502" s="71"/>
      <c r="AD502" s="71"/>
      <c r="AE502" s="71"/>
      <c r="AG502" s="71"/>
      <c r="AH502" s="71"/>
    </row>
    <row r="503" spans="2:34" x14ac:dyDescent="0.2">
      <c r="B503" s="73"/>
      <c r="AD503" s="73"/>
      <c r="AE503" s="73"/>
      <c r="AG503" s="73"/>
      <c r="AH503" s="73"/>
    </row>
    <row r="504" spans="2:34" x14ac:dyDescent="0.2">
      <c r="B504" s="71"/>
      <c r="AD504" s="71"/>
      <c r="AE504" s="71"/>
      <c r="AG504" s="71"/>
      <c r="AH504" s="71"/>
    </row>
    <row r="505" spans="2:34" x14ac:dyDescent="0.2">
      <c r="B505" s="71"/>
      <c r="AD505" s="71"/>
      <c r="AE505" s="71"/>
      <c r="AG505" s="71"/>
      <c r="AH505" s="71"/>
    </row>
    <row r="506" spans="2:34" x14ac:dyDescent="0.2">
      <c r="B506" s="71"/>
      <c r="AD506" s="71"/>
      <c r="AE506" s="71"/>
      <c r="AG506" s="71"/>
      <c r="AH506" s="71"/>
    </row>
    <row r="507" spans="2:34" x14ac:dyDescent="0.2">
      <c r="B507" s="73"/>
      <c r="AD507" s="73"/>
      <c r="AE507" s="73"/>
      <c r="AG507" s="73"/>
      <c r="AH507" s="73"/>
    </row>
    <row r="508" spans="2:34" x14ac:dyDescent="0.2">
      <c r="B508" s="71"/>
      <c r="AD508" s="71"/>
      <c r="AE508" s="71"/>
      <c r="AG508" s="71"/>
      <c r="AH508" s="71"/>
    </row>
    <row r="509" spans="2:34" x14ac:dyDescent="0.2">
      <c r="B509" s="71"/>
      <c r="AD509" s="71"/>
      <c r="AE509" s="71"/>
      <c r="AG509" s="71"/>
      <c r="AH509" s="71"/>
    </row>
    <row r="510" spans="2:34" x14ac:dyDescent="0.2">
      <c r="B510" s="71"/>
      <c r="AD510" s="71"/>
      <c r="AE510" s="71"/>
      <c r="AG510" s="71"/>
      <c r="AH510" s="71"/>
    </row>
    <row r="511" spans="2:34" x14ac:dyDescent="0.2">
      <c r="B511" s="73"/>
      <c r="AD511" s="73"/>
      <c r="AE511" s="73"/>
      <c r="AG511" s="73"/>
      <c r="AH511" s="73"/>
    </row>
    <row r="512" spans="2:34" x14ac:dyDescent="0.2">
      <c r="B512" s="71"/>
      <c r="AD512" s="71"/>
      <c r="AE512" s="71"/>
      <c r="AG512" s="71"/>
      <c r="AH512" s="71"/>
    </row>
    <row r="513" spans="2:34" x14ac:dyDescent="0.2">
      <c r="B513" s="71"/>
      <c r="AD513" s="71"/>
      <c r="AE513" s="71"/>
      <c r="AG513" s="71"/>
      <c r="AH513" s="71"/>
    </row>
    <row r="514" spans="2:34" x14ac:dyDescent="0.2">
      <c r="B514" s="71"/>
      <c r="AD514" s="71"/>
      <c r="AE514" s="71"/>
      <c r="AG514" s="71"/>
      <c r="AH514" s="71"/>
    </row>
    <row r="515" spans="2:34" x14ac:dyDescent="0.2">
      <c r="B515" s="73"/>
      <c r="AD515" s="73"/>
      <c r="AE515" s="73"/>
      <c r="AG515" s="73"/>
      <c r="AH515" s="73"/>
    </row>
    <row r="516" spans="2:34" x14ac:dyDescent="0.2">
      <c r="B516" s="71"/>
      <c r="AD516" s="71"/>
      <c r="AE516" s="71"/>
      <c r="AG516" s="71"/>
      <c r="AH516" s="71"/>
    </row>
    <row r="517" spans="2:34" x14ac:dyDescent="0.2">
      <c r="B517" s="71"/>
      <c r="AD517" s="71"/>
      <c r="AE517" s="71"/>
      <c r="AG517" s="71"/>
      <c r="AH517" s="71"/>
    </row>
    <row r="518" spans="2:34" x14ac:dyDescent="0.2">
      <c r="B518" s="71"/>
      <c r="AD518" s="71"/>
      <c r="AE518" s="71"/>
      <c r="AG518" s="71"/>
      <c r="AH518" s="71"/>
    </row>
    <row r="519" spans="2:34" x14ac:dyDescent="0.2">
      <c r="B519" s="73"/>
      <c r="AD519" s="73"/>
      <c r="AE519" s="73"/>
      <c r="AG519" s="73"/>
      <c r="AH519" s="73"/>
    </row>
    <row r="520" spans="2:34" x14ac:dyDescent="0.2">
      <c r="B520" s="71"/>
      <c r="AD520" s="71"/>
      <c r="AE520" s="71"/>
      <c r="AG520" s="71"/>
      <c r="AH520" s="71"/>
    </row>
    <row r="521" spans="2:34" x14ac:dyDescent="0.2">
      <c r="B521" s="71"/>
      <c r="AD521" s="71"/>
      <c r="AE521" s="71"/>
      <c r="AG521" s="71"/>
      <c r="AH521" s="71"/>
    </row>
    <row r="522" spans="2:34" x14ac:dyDescent="0.2">
      <c r="B522" s="71"/>
      <c r="AD522" s="71"/>
      <c r="AE522" s="71"/>
      <c r="AG522" s="71"/>
      <c r="AH522" s="71"/>
    </row>
    <row r="523" spans="2:34" x14ac:dyDescent="0.2">
      <c r="B523" s="73"/>
      <c r="AD523" s="73"/>
      <c r="AE523" s="73"/>
      <c r="AG523" s="73"/>
      <c r="AH523" s="73"/>
    </row>
    <row r="524" spans="2:34" x14ac:dyDescent="0.2">
      <c r="B524" s="71"/>
      <c r="AD524" s="71"/>
      <c r="AE524" s="71"/>
      <c r="AG524" s="71"/>
      <c r="AH524" s="71"/>
    </row>
    <row r="525" spans="2:34" x14ac:dyDescent="0.2">
      <c r="B525" s="71"/>
      <c r="AD525" s="71"/>
      <c r="AE525" s="71"/>
      <c r="AG525" s="71"/>
      <c r="AH525" s="71"/>
    </row>
    <row r="526" spans="2:34" x14ac:dyDescent="0.2">
      <c r="B526" s="71"/>
      <c r="AD526" s="71"/>
      <c r="AE526" s="71"/>
      <c r="AG526" s="71"/>
      <c r="AH526" s="71"/>
    </row>
    <row r="527" spans="2:34" x14ac:dyDescent="0.2">
      <c r="B527" s="73"/>
      <c r="AD527" s="73"/>
      <c r="AE527" s="73"/>
      <c r="AG527" s="73"/>
      <c r="AH527" s="73"/>
    </row>
    <row r="528" spans="2:34" x14ac:dyDescent="0.2">
      <c r="B528" s="71"/>
      <c r="AD528" s="71"/>
      <c r="AE528" s="71"/>
      <c r="AG528" s="71"/>
      <c r="AH528" s="71"/>
    </row>
    <row r="529" spans="2:34" x14ac:dyDescent="0.2">
      <c r="B529" s="71"/>
      <c r="AD529" s="71"/>
      <c r="AE529" s="71"/>
      <c r="AG529" s="71"/>
      <c r="AH529" s="71"/>
    </row>
    <row r="530" spans="2:34" x14ac:dyDescent="0.2">
      <c r="B530" s="71"/>
      <c r="AD530" s="71"/>
      <c r="AE530" s="71"/>
      <c r="AG530" s="71"/>
      <c r="AH530" s="71"/>
    </row>
    <row r="531" spans="2:34" x14ac:dyDescent="0.2">
      <c r="B531" s="73"/>
      <c r="AD531" s="73"/>
      <c r="AE531" s="73"/>
      <c r="AG531" s="73"/>
      <c r="AH531" s="73"/>
    </row>
    <row r="532" spans="2:34" x14ac:dyDescent="0.2">
      <c r="B532" s="71"/>
      <c r="AD532" s="71"/>
      <c r="AE532" s="71"/>
      <c r="AG532" s="71"/>
      <c r="AH532" s="71"/>
    </row>
    <row r="533" spans="2:34" x14ac:dyDescent="0.2">
      <c r="B533" s="71"/>
      <c r="AD533" s="71"/>
      <c r="AE533" s="71"/>
      <c r="AG533" s="71"/>
      <c r="AH533" s="71"/>
    </row>
    <row r="534" spans="2:34" x14ac:dyDescent="0.2">
      <c r="B534" s="71"/>
      <c r="AD534" s="71"/>
      <c r="AE534" s="71"/>
      <c r="AG534" s="71"/>
      <c r="AH534" s="71"/>
    </row>
    <row r="535" spans="2:34" x14ac:dyDescent="0.2">
      <c r="B535" s="73"/>
      <c r="AD535" s="73"/>
      <c r="AE535" s="73"/>
      <c r="AG535" s="73"/>
      <c r="AH535" s="73"/>
    </row>
    <row r="536" spans="2:34" x14ac:dyDescent="0.2">
      <c r="B536" s="71"/>
      <c r="AD536" s="71"/>
      <c r="AE536" s="71"/>
      <c r="AG536" s="71"/>
      <c r="AH536" s="71"/>
    </row>
    <row r="537" spans="2:34" x14ac:dyDescent="0.2">
      <c r="B537" s="71"/>
      <c r="AD537" s="71"/>
      <c r="AE537" s="71"/>
      <c r="AG537" s="71"/>
      <c r="AH537" s="71"/>
    </row>
    <row r="538" spans="2:34" x14ac:dyDescent="0.2">
      <c r="B538" s="71"/>
      <c r="AD538" s="71"/>
      <c r="AE538" s="71"/>
      <c r="AG538" s="71"/>
      <c r="AH538" s="71"/>
    </row>
    <row r="539" spans="2:34" x14ac:dyDescent="0.2">
      <c r="B539" s="73"/>
      <c r="AD539" s="73"/>
      <c r="AE539" s="73"/>
      <c r="AG539" s="73"/>
      <c r="AH539" s="73"/>
    </row>
    <row r="540" spans="2:34" x14ac:dyDescent="0.2">
      <c r="B540" s="71"/>
      <c r="AD540" s="71"/>
      <c r="AE540" s="71"/>
      <c r="AG540" s="71"/>
      <c r="AH540" s="71"/>
    </row>
    <row r="541" spans="2:34" x14ac:dyDescent="0.2">
      <c r="B541" s="71"/>
      <c r="AD541" s="71"/>
      <c r="AE541" s="71"/>
      <c r="AG541" s="71"/>
      <c r="AH541" s="71"/>
    </row>
    <row r="542" spans="2:34" x14ac:dyDescent="0.2">
      <c r="B542" s="71"/>
      <c r="AD542" s="71"/>
      <c r="AE542" s="71"/>
      <c r="AG542" s="71"/>
      <c r="AH542" s="71"/>
    </row>
    <row r="543" spans="2:34" x14ac:dyDescent="0.2">
      <c r="B543" s="73"/>
      <c r="AD543" s="73"/>
      <c r="AE543" s="73"/>
      <c r="AG543" s="73"/>
      <c r="AH543" s="73"/>
    </row>
    <row r="544" spans="2:34" x14ac:dyDescent="0.2">
      <c r="B544" s="71"/>
      <c r="AD544" s="71"/>
      <c r="AE544" s="71"/>
      <c r="AG544" s="71"/>
      <c r="AH544" s="71"/>
    </row>
    <row r="545" spans="2:34" x14ac:dyDescent="0.2">
      <c r="B545" s="71"/>
      <c r="AD545" s="71"/>
      <c r="AE545" s="71"/>
      <c r="AG545" s="71"/>
      <c r="AH545" s="71"/>
    </row>
    <row r="546" spans="2:34" x14ac:dyDescent="0.2">
      <c r="B546" s="71"/>
      <c r="AD546" s="71"/>
      <c r="AE546" s="71"/>
      <c r="AG546" s="71"/>
      <c r="AH546" s="71"/>
    </row>
    <row r="547" spans="2:34" x14ac:dyDescent="0.2">
      <c r="B547" s="73"/>
      <c r="AD547" s="73"/>
      <c r="AE547" s="73"/>
      <c r="AG547" s="73"/>
      <c r="AH547" s="73"/>
    </row>
    <row r="548" spans="2:34" x14ac:dyDescent="0.2">
      <c r="B548" s="71"/>
      <c r="AD548" s="71"/>
      <c r="AE548" s="71"/>
      <c r="AG548" s="71"/>
      <c r="AH548" s="71"/>
    </row>
    <row r="549" spans="2:34" x14ac:dyDescent="0.2">
      <c r="B549" s="71"/>
      <c r="AD549" s="71"/>
      <c r="AE549" s="71"/>
      <c r="AG549" s="71"/>
      <c r="AH549" s="71"/>
    </row>
    <row r="550" spans="2:34" x14ac:dyDescent="0.2">
      <c r="B550" s="71"/>
      <c r="AD550" s="71"/>
      <c r="AE550" s="71"/>
      <c r="AG550" s="71"/>
      <c r="AH550" s="71"/>
    </row>
    <row r="551" spans="2:34" x14ac:dyDescent="0.2">
      <c r="B551" s="73"/>
      <c r="AD551" s="73"/>
      <c r="AE551" s="73"/>
      <c r="AG551" s="73"/>
      <c r="AH551" s="73"/>
    </row>
    <row r="552" spans="2:34" x14ac:dyDescent="0.2">
      <c r="B552" s="71"/>
      <c r="AD552" s="71"/>
      <c r="AE552" s="71"/>
      <c r="AG552" s="71"/>
      <c r="AH552" s="71"/>
    </row>
    <row r="553" spans="2:34" x14ac:dyDescent="0.2">
      <c r="B553" s="71"/>
      <c r="AD553" s="71"/>
      <c r="AE553" s="71"/>
      <c r="AG553" s="71"/>
      <c r="AH553" s="71"/>
    </row>
    <row r="554" spans="2:34" x14ac:dyDescent="0.2">
      <c r="B554" s="71"/>
      <c r="AD554" s="71"/>
      <c r="AE554" s="71"/>
      <c r="AG554" s="71"/>
      <c r="AH554" s="71"/>
    </row>
    <row r="555" spans="2:34" x14ac:dyDescent="0.2">
      <c r="B555" s="73"/>
      <c r="AD555" s="73"/>
      <c r="AE555" s="73"/>
      <c r="AG555" s="73"/>
      <c r="AH555" s="73"/>
    </row>
    <row r="556" spans="2:34" x14ac:dyDescent="0.2">
      <c r="B556" s="71"/>
      <c r="AD556" s="71"/>
      <c r="AE556" s="71"/>
      <c r="AG556" s="71"/>
      <c r="AH556" s="71"/>
    </row>
    <row r="557" spans="2:34" x14ac:dyDescent="0.2">
      <c r="B557" s="71"/>
      <c r="AD557" s="71"/>
      <c r="AE557" s="71"/>
      <c r="AG557" s="71"/>
      <c r="AH557" s="71"/>
    </row>
    <row r="558" spans="2:34" x14ac:dyDescent="0.2">
      <c r="B558" s="71"/>
      <c r="AD558" s="71"/>
      <c r="AE558" s="71"/>
      <c r="AG558" s="71"/>
      <c r="AH558" s="71"/>
    </row>
    <row r="559" spans="2:34" x14ac:dyDescent="0.2">
      <c r="B559" s="73"/>
      <c r="AD559" s="73"/>
      <c r="AE559" s="73"/>
      <c r="AG559" s="73"/>
      <c r="AH559" s="73"/>
    </row>
    <row r="560" spans="2:34" x14ac:dyDescent="0.2">
      <c r="B560" s="71"/>
      <c r="AD560" s="71"/>
      <c r="AE560" s="71"/>
      <c r="AG560" s="71"/>
      <c r="AH560" s="71"/>
    </row>
    <row r="561" spans="2:34" x14ac:dyDescent="0.2">
      <c r="B561" s="71"/>
      <c r="AD561" s="71"/>
      <c r="AE561" s="71"/>
      <c r="AG561" s="71"/>
      <c r="AH561" s="71"/>
    </row>
    <row r="562" spans="2:34" x14ac:dyDescent="0.2">
      <c r="B562" s="71"/>
      <c r="AD562" s="71"/>
      <c r="AE562" s="71"/>
      <c r="AG562" s="71"/>
      <c r="AH562" s="71"/>
    </row>
    <row r="563" spans="2:34" x14ac:dyDescent="0.2">
      <c r="B563" s="73"/>
      <c r="AD563" s="73"/>
      <c r="AE563" s="73"/>
      <c r="AG563" s="73"/>
      <c r="AH563" s="73"/>
    </row>
    <row r="564" spans="2:34" x14ac:dyDescent="0.2">
      <c r="B564" s="71"/>
      <c r="AD564" s="71"/>
      <c r="AE564" s="71"/>
      <c r="AG564" s="71"/>
      <c r="AH564" s="71"/>
    </row>
    <row r="565" spans="2:34" x14ac:dyDescent="0.2">
      <c r="B565" s="71"/>
      <c r="AD565" s="71"/>
      <c r="AE565" s="71"/>
      <c r="AG565" s="71"/>
      <c r="AH565" s="71"/>
    </row>
    <row r="566" spans="2:34" x14ac:dyDescent="0.2">
      <c r="B566" s="71"/>
      <c r="AD566" s="71"/>
      <c r="AE566" s="71"/>
      <c r="AG566" s="71"/>
      <c r="AH566" s="71"/>
    </row>
    <row r="567" spans="2:34" x14ac:dyDescent="0.2">
      <c r="B567" s="73"/>
      <c r="AD567" s="73"/>
      <c r="AE567" s="73"/>
      <c r="AG567" s="73"/>
      <c r="AH567" s="73"/>
    </row>
    <row r="568" spans="2:34" x14ac:dyDescent="0.2">
      <c r="B568" s="71"/>
      <c r="AD568" s="71"/>
      <c r="AE568" s="71"/>
      <c r="AG568" s="71"/>
      <c r="AH568" s="71"/>
    </row>
    <row r="569" spans="2:34" x14ac:dyDescent="0.2">
      <c r="B569" s="71"/>
      <c r="AD569" s="71"/>
      <c r="AE569" s="71"/>
      <c r="AG569" s="71"/>
      <c r="AH569" s="71"/>
    </row>
    <row r="570" spans="2:34" x14ac:dyDescent="0.2">
      <c r="B570" s="71"/>
      <c r="AD570" s="71"/>
      <c r="AE570" s="71"/>
      <c r="AG570" s="71"/>
      <c r="AH570" s="71"/>
    </row>
    <row r="571" spans="2:34" x14ac:dyDescent="0.2">
      <c r="B571" s="73"/>
      <c r="AD571" s="73"/>
      <c r="AE571" s="73"/>
      <c r="AG571" s="73"/>
      <c r="AH571" s="73"/>
    </row>
    <row r="572" spans="2:34" x14ac:dyDescent="0.2">
      <c r="B572" s="71"/>
      <c r="AD572" s="71"/>
      <c r="AE572" s="71"/>
      <c r="AG572" s="71"/>
      <c r="AH572" s="71"/>
    </row>
    <row r="573" spans="2:34" x14ac:dyDescent="0.2">
      <c r="B573" s="71"/>
      <c r="AD573" s="71"/>
      <c r="AE573" s="71"/>
      <c r="AG573" s="71"/>
      <c r="AH573" s="71"/>
    </row>
    <row r="574" spans="2:34" x14ac:dyDescent="0.2">
      <c r="B574" s="71"/>
      <c r="AD574" s="71"/>
      <c r="AE574" s="71"/>
      <c r="AG574" s="71"/>
      <c r="AH574" s="71"/>
    </row>
    <row r="575" spans="2:34" x14ac:dyDescent="0.2">
      <c r="B575" s="73"/>
      <c r="AD575" s="73"/>
      <c r="AE575" s="73"/>
      <c r="AG575" s="73"/>
      <c r="AH575" s="73"/>
    </row>
    <row r="576" spans="2:34" x14ac:dyDescent="0.2">
      <c r="B576" s="71"/>
      <c r="AD576" s="71"/>
      <c r="AE576" s="71"/>
      <c r="AG576" s="71"/>
      <c r="AH576" s="71"/>
    </row>
    <row r="577" spans="2:34" x14ac:dyDescent="0.2">
      <c r="B577" s="71"/>
      <c r="AD577" s="71"/>
      <c r="AE577" s="71"/>
      <c r="AG577" s="71"/>
      <c r="AH577" s="71"/>
    </row>
    <row r="578" spans="2:34" x14ac:dyDescent="0.2">
      <c r="B578" s="71"/>
      <c r="AD578" s="71"/>
      <c r="AE578" s="71"/>
      <c r="AG578" s="71"/>
      <c r="AH578" s="71"/>
    </row>
    <row r="579" spans="2:34" x14ac:dyDescent="0.2">
      <c r="B579" s="73"/>
      <c r="AD579" s="73"/>
      <c r="AE579" s="73"/>
      <c r="AG579" s="73"/>
      <c r="AH579" s="73"/>
    </row>
    <row r="580" spans="2:34" x14ac:dyDescent="0.2">
      <c r="B580" s="71"/>
      <c r="AD580" s="71"/>
      <c r="AE580" s="71"/>
      <c r="AG580" s="71"/>
      <c r="AH580" s="71"/>
    </row>
    <row r="581" spans="2:34" x14ac:dyDescent="0.2">
      <c r="B581" s="71"/>
      <c r="AD581" s="71"/>
      <c r="AE581" s="71"/>
      <c r="AG581" s="71"/>
      <c r="AH581" s="71"/>
    </row>
    <row r="582" spans="2:34" x14ac:dyDescent="0.2">
      <c r="B582" s="71"/>
      <c r="AD582" s="71"/>
      <c r="AE582" s="71"/>
      <c r="AG582" s="71"/>
      <c r="AH582" s="71"/>
    </row>
    <row r="583" spans="2:34" x14ac:dyDescent="0.2">
      <c r="B583" s="73"/>
      <c r="AD583" s="73"/>
      <c r="AE583" s="73"/>
      <c r="AG583" s="73"/>
      <c r="AH583" s="73"/>
    </row>
    <row r="584" spans="2:34" x14ac:dyDescent="0.2">
      <c r="B584" s="71"/>
      <c r="AD584" s="71"/>
      <c r="AE584" s="71"/>
      <c r="AG584" s="71"/>
      <c r="AH584" s="71"/>
    </row>
    <row r="585" spans="2:34" x14ac:dyDescent="0.2">
      <c r="B585" s="71"/>
      <c r="AD585" s="71"/>
      <c r="AE585" s="71"/>
      <c r="AG585" s="71"/>
      <c r="AH585" s="71"/>
    </row>
    <row r="586" spans="2:34" x14ac:dyDescent="0.2">
      <c r="B586" s="71"/>
      <c r="AD586" s="71"/>
      <c r="AE586" s="71"/>
      <c r="AG586" s="71"/>
      <c r="AH586" s="71"/>
    </row>
    <row r="587" spans="2:34" x14ac:dyDescent="0.2">
      <c r="B587" s="73"/>
      <c r="AD587" s="73"/>
      <c r="AE587" s="73"/>
      <c r="AG587" s="73"/>
      <c r="AH587" s="73"/>
    </row>
    <row r="588" spans="2:34" x14ac:dyDescent="0.2">
      <c r="B588" s="71"/>
      <c r="AD588" s="71"/>
      <c r="AE588" s="71"/>
      <c r="AG588" s="71"/>
      <c r="AH588" s="71"/>
    </row>
    <row r="589" spans="2:34" x14ac:dyDescent="0.2">
      <c r="B589" s="71"/>
      <c r="AD589" s="71"/>
      <c r="AE589" s="71"/>
      <c r="AG589" s="71"/>
      <c r="AH589" s="71"/>
    </row>
    <row r="590" spans="2:34" x14ac:dyDescent="0.2">
      <c r="B590" s="71"/>
      <c r="AD590" s="71"/>
      <c r="AE590" s="71"/>
      <c r="AG590" s="71"/>
      <c r="AH590" s="71"/>
    </row>
    <row r="591" spans="2:34" x14ac:dyDescent="0.2">
      <c r="B591" s="73"/>
      <c r="AD591" s="73"/>
      <c r="AE591" s="73"/>
      <c r="AG591" s="73"/>
      <c r="AH591" s="73"/>
    </row>
    <row r="592" spans="2:34" x14ac:dyDescent="0.2">
      <c r="B592" s="71"/>
      <c r="AD592" s="71"/>
      <c r="AE592" s="71"/>
      <c r="AG592" s="71"/>
      <c r="AH592" s="71"/>
    </row>
    <row r="593" spans="2:34" x14ac:dyDescent="0.2">
      <c r="B593" s="71"/>
      <c r="AD593" s="71"/>
      <c r="AE593" s="71"/>
      <c r="AG593" s="71"/>
      <c r="AH593" s="71"/>
    </row>
    <row r="594" spans="2:34" x14ac:dyDescent="0.2">
      <c r="B594" s="71"/>
      <c r="AD594" s="71"/>
      <c r="AE594" s="71"/>
      <c r="AG594" s="71"/>
      <c r="AH594" s="71"/>
    </row>
    <row r="595" spans="2:34" x14ac:dyDescent="0.2">
      <c r="B595" s="73"/>
      <c r="AD595" s="73"/>
      <c r="AE595" s="73"/>
      <c r="AG595" s="73"/>
      <c r="AH595" s="73"/>
    </row>
    <row r="596" spans="2:34" x14ac:dyDescent="0.2">
      <c r="B596" s="71"/>
      <c r="AD596" s="71"/>
      <c r="AE596" s="71"/>
      <c r="AG596" s="71"/>
      <c r="AH596" s="71"/>
    </row>
    <row r="597" spans="2:34" x14ac:dyDescent="0.2">
      <c r="B597" s="71"/>
      <c r="AD597" s="71"/>
      <c r="AE597" s="71"/>
      <c r="AG597" s="71"/>
      <c r="AH597" s="71"/>
    </row>
    <row r="598" spans="2:34" x14ac:dyDescent="0.2">
      <c r="B598" s="71"/>
      <c r="AD598" s="71"/>
      <c r="AE598" s="71"/>
      <c r="AG598" s="71"/>
      <c r="AH598" s="71"/>
    </row>
    <row r="599" spans="2:34" x14ac:dyDescent="0.2">
      <c r="B599" s="73"/>
      <c r="AD599" s="73"/>
      <c r="AE599" s="73"/>
      <c r="AG599" s="73"/>
      <c r="AH599" s="73"/>
    </row>
    <row r="600" spans="2:34" x14ac:dyDescent="0.2">
      <c r="B600" s="71"/>
      <c r="AD600" s="71"/>
      <c r="AE600" s="71"/>
      <c r="AG600" s="71"/>
      <c r="AH600" s="71"/>
    </row>
    <row r="601" spans="2:34" x14ac:dyDescent="0.2">
      <c r="B601" s="71"/>
      <c r="AD601" s="71"/>
      <c r="AE601" s="71"/>
      <c r="AG601" s="71"/>
      <c r="AH601" s="71"/>
    </row>
    <row r="602" spans="2:34" x14ac:dyDescent="0.2">
      <c r="B602" s="71"/>
      <c r="AD602" s="71"/>
      <c r="AE602" s="71"/>
      <c r="AG602" s="71"/>
      <c r="AH602" s="71"/>
    </row>
    <row r="603" spans="2:34" x14ac:dyDescent="0.2">
      <c r="B603" s="73"/>
      <c r="AD603" s="73"/>
      <c r="AE603" s="73"/>
      <c r="AG603" s="73"/>
      <c r="AH603" s="73"/>
    </row>
    <row r="604" spans="2:34" x14ac:dyDescent="0.2">
      <c r="B604" s="71"/>
      <c r="AD604" s="71"/>
      <c r="AE604" s="71"/>
      <c r="AG604" s="71"/>
      <c r="AH604" s="71"/>
    </row>
    <row r="605" spans="2:34" x14ac:dyDescent="0.2">
      <c r="B605" s="71"/>
      <c r="AD605" s="71"/>
      <c r="AE605" s="71"/>
      <c r="AG605" s="71"/>
      <c r="AH605" s="71"/>
    </row>
    <row r="606" spans="2:34" x14ac:dyDescent="0.2">
      <c r="B606" s="71"/>
      <c r="AD606" s="71"/>
      <c r="AE606" s="71"/>
      <c r="AG606" s="71"/>
      <c r="AH606" s="71"/>
    </row>
    <row r="607" spans="2:34" x14ac:dyDescent="0.2">
      <c r="B607" s="73"/>
      <c r="AD607" s="73"/>
      <c r="AE607" s="73"/>
      <c r="AG607" s="73"/>
      <c r="AH607" s="73"/>
    </row>
    <row r="608" spans="2:34" x14ac:dyDescent="0.2">
      <c r="B608" s="71"/>
      <c r="AD608" s="71"/>
      <c r="AE608" s="71"/>
      <c r="AG608" s="71"/>
      <c r="AH608" s="71"/>
    </row>
    <row r="609" spans="2:34" x14ac:dyDescent="0.2">
      <c r="B609" s="71"/>
      <c r="AD609" s="71"/>
      <c r="AE609" s="71"/>
      <c r="AG609" s="71"/>
      <c r="AH609" s="71"/>
    </row>
    <row r="610" spans="2:34" x14ac:dyDescent="0.2">
      <c r="B610" s="71"/>
      <c r="AD610" s="71"/>
      <c r="AE610" s="71"/>
      <c r="AG610" s="71"/>
      <c r="AH610" s="71"/>
    </row>
    <row r="611" spans="2:34" x14ac:dyDescent="0.2">
      <c r="B611" s="73"/>
      <c r="AD611" s="73"/>
      <c r="AE611" s="73"/>
      <c r="AG611" s="73"/>
      <c r="AH611" s="73"/>
    </row>
    <row r="612" spans="2:34" x14ac:dyDescent="0.2">
      <c r="B612" s="71"/>
      <c r="AD612" s="71"/>
      <c r="AE612" s="71"/>
      <c r="AG612" s="71"/>
      <c r="AH612" s="71"/>
    </row>
    <row r="613" spans="2:34" x14ac:dyDescent="0.2">
      <c r="B613" s="71"/>
      <c r="AD613" s="71"/>
      <c r="AE613" s="71"/>
      <c r="AG613" s="71"/>
      <c r="AH613" s="71"/>
    </row>
    <row r="614" spans="2:34" x14ac:dyDescent="0.2">
      <c r="B614" s="71"/>
      <c r="AD614" s="71"/>
      <c r="AE614" s="71"/>
      <c r="AG614" s="71"/>
      <c r="AH614" s="71"/>
    </row>
    <row r="615" spans="2:34" x14ac:dyDescent="0.2">
      <c r="B615" s="73"/>
      <c r="AD615" s="73"/>
      <c r="AE615" s="73"/>
      <c r="AG615" s="73"/>
      <c r="AH615" s="73"/>
    </row>
    <row r="616" spans="2:34" x14ac:dyDescent="0.2">
      <c r="B616" s="71"/>
      <c r="AD616" s="71"/>
      <c r="AE616" s="71"/>
      <c r="AG616" s="71"/>
      <c r="AH616" s="71"/>
    </row>
    <row r="617" spans="2:34" x14ac:dyDescent="0.2">
      <c r="B617" s="71"/>
      <c r="AD617" s="71"/>
      <c r="AE617" s="71"/>
      <c r="AG617" s="71"/>
      <c r="AH617" s="71"/>
    </row>
    <row r="618" spans="2:34" x14ac:dyDescent="0.2">
      <c r="B618" s="71"/>
      <c r="AD618" s="71"/>
      <c r="AE618" s="71"/>
      <c r="AG618" s="71"/>
      <c r="AH618" s="71"/>
    </row>
    <row r="619" spans="2:34" x14ac:dyDescent="0.2">
      <c r="B619" s="73"/>
      <c r="AD619" s="73"/>
      <c r="AE619" s="73"/>
      <c r="AG619" s="73"/>
      <c r="AH619" s="73"/>
    </row>
    <row r="620" spans="2:34" x14ac:dyDescent="0.2">
      <c r="B620" s="71"/>
      <c r="AD620" s="71"/>
      <c r="AE620" s="71"/>
      <c r="AG620" s="71"/>
      <c r="AH620" s="71"/>
    </row>
    <row r="621" spans="2:34" x14ac:dyDescent="0.2">
      <c r="B621" s="71"/>
      <c r="AD621" s="71"/>
      <c r="AE621" s="71"/>
      <c r="AG621" s="71"/>
      <c r="AH621" s="71"/>
    </row>
    <row r="622" spans="2:34" x14ac:dyDescent="0.2">
      <c r="B622" s="71"/>
      <c r="AD622" s="71"/>
      <c r="AE622" s="71"/>
      <c r="AG622" s="71"/>
      <c r="AH622" s="71"/>
    </row>
    <row r="623" spans="2:34" x14ac:dyDescent="0.2">
      <c r="B623" s="73"/>
      <c r="AD623" s="73"/>
      <c r="AE623" s="73"/>
      <c r="AG623" s="73"/>
      <c r="AH623" s="73"/>
    </row>
    <row r="624" spans="2:34" x14ac:dyDescent="0.2">
      <c r="B624" s="71"/>
      <c r="AD624" s="71"/>
      <c r="AE624" s="71"/>
      <c r="AG624" s="71"/>
      <c r="AH624" s="71"/>
    </row>
    <row r="625" spans="2:34" x14ac:dyDescent="0.2">
      <c r="B625" s="71"/>
      <c r="AD625" s="71"/>
      <c r="AE625" s="71"/>
      <c r="AG625" s="71"/>
      <c r="AH625" s="71"/>
    </row>
    <row r="626" spans="2:34" x14ac:dyDescent="0.2">
      <c r="B626" s="71"/>
      <c r="AD626" s="71"/>
      <c r="AE626" s="71"/>
      <c r="AG626" s="71"/>
      <c r="AH626" s="71"/>
    </row>
    <row r="627" spans="2:34" x14ac:dyDescent="0.2">
      <c r="B627" s="73"/>
      <c r="AD627" s="73"/>
      <c r="AE627" s="73"/>
      <c r="AG627" s="73"/>
      <c r="AH627" s="73"/>
    </row>
    <row r="628" spans="2:34" x14ac:dyDescent="0.2">
      <c r="B628" s="71"/>
      <c r="AD628" s="71"/>
      <c r="AE628" s="71"/>
      <c r="AG628" s="71"/>
      <c r="AH628" s="71"/>
    </row>
    <row r="629" spans="2:34" x14ac:dyDescent="0.2">
      <c r="B629" s="71"/>
      <c r="AD629" s="71"/>
      <c r="AE629" s="71"/>
      <c r="AG629" s="71"/>
      <c r="AH629" s="71"/>
    </row>
    <row r="630" spans="2:34" x14ac:dyDescent="0.2">
      <c r="B630" s="71"/>
      <c r="AD630" s="71"/>
      <c r="AE630" s="71"/>
      <c r="AG630" s="71"/>
      <c r="AH630" s="71"/>
    </row>
    <row r="631" spans="2:34" x14ac:dyDescent="0.2">
      <c r="B631" s="73"/>
      <c r="AD631" s="73"/>
      <c r="AE631" s="73"/>
      <c r="AG631" s="73"/>
      <c r="AH631" s="73"/>
    </row>
    <row r="632" spans="2:34" x14ac:dyDescent="0.2">
      <c r="B632" s="71"/>
      <c r="AD632" s="71"/>
      <c r="AE632" s="71"/>
      <c r="AG632" s="71"/>
      <c r="AH632" s="71"/>
    </row>
    <row r="633" spans="2:34" x14ac:dyDescent="0.2">
      <c r="B633" s="71"/>
      <c r="AD633" s="71"/>
      <c r="AE633" s="71"/>
      <c r="AG633" s="71"/>
      <c r="AH633" s="71"/>
    </row>
    <row r="634" spans="2:34" x14ac:dyDescent="0.2">
      <c r="B634" s="71"/>
      <c r="AD634" s="71"/>
      <c r="AE634" s="71"/>
      <c r="AG634" s="71"/>
      <c r="AH634" s="71"/>
    </row>
    <row r="635" spans="2:34" x14ac:dyDescent="0.2">
      <c r="B635" s="73"/>
      <c r="AD635" s="73"/>
      <c r="AE635" s="73"/>
      <c r="AG635" s="73"/>
      <c r="AH635" s="73"/>
    </row>
    <row r="636" spans="2:34" x14ac:dyDescent="0.2">
      <c r="B636" s="71"/>
      <c r="AD636" s="71"/>
      <c r="AE636" s="71"/>
      <c r="AG636" s="71"/>
      <c r="AH636" s="71"/>
    </row>
    <row r="637" spans="2:34" x14ac:dyDescent="0.2">
      <c r="B637" s="71"/>
      <c r="AD637" s="71"/>
      <c r="AE637" s="71"/>
      <c r="AG637" s="71"/>
      <c r="AH637" s="71"/>
    </row>
    <row r="638" spans="2:34" x14ac:dyDescent="0.2">
      <c r="B638" s="71"/>
      <c r="AD638" s="71"/>
      <c r="AE638" s="71"/>
      <c r="AG638" s="71"/>
      <c r="AH638" s="71"/>
    </row>
    <row r="639" spans="2:34" x14ac:dyDescent="0.2">
      <c r="B639" s="73"/>
      <c r="AD639" s="73"/>
      <c r="AE639" s="73"/>
      <c r="AG639" s="73"/>
      <c r="AH639" s="73"/>
    </row>
    <row r="640" spans="2:34" x14ac:dyDescent="0.2">
      <c r="B640" s="71"/>
      <c r="AD640" s="71"/>
      <c r="AE640" s="71"/>
      <c r="AG640" s="71"/>
      <c r="AH640" s="71"/>
    </row>
    <row r="641" spans="2:34" x14ac:dyDescent="0.2">
      <c r="B641" s="71"/>
      <c r="AD641" s="71"/>
      <c r="AE641" s="71"/>
      <c r="AG641" s="71"/>
      <c r="AH641" s="71"/>
    </row>
    <row r="642" spans="2:34" x14ac:dyDescent="0.2">
      <c r="B642" s="71"/>
      <c r="AD642" s="71"/>
      <c r="AE642" s="71"/>
      <c r="AG642" s="71"/>
      <c r="AH642" s="71"/>
    </row>
    <row r="643" spans="2:34" x14ac:dyDescent="0.2">
      <c r="B643" s="73"/>
      <c r="AD643" s="73"/>
      <c r="AE643" s="73"/>
      <c r="AG643" s="73"/>
      <c r="AH643" s="73"/>
    </row>
    <row r="644" spans="2:34" x14ac:dyDescent="0.2">
      <c r="B644" s="71"/>
      <c r="AD644" s="71"/>
      <c r="AE644" s="71"/>
      <c r="AG644" s="71"/>
      <c r="AH644" s="71"/>
    </row>
    <row r="645" spans="2:34" x14ac:dyDescent="0.2">
      <c r="B645" s="71"/>
      <c r="AD645" s="71"/>
      <c r="AE645" s="71"/>
      <c r="AG645" s="71"/>
      <c r="AH645" s="71"/>
    </row>
    <row r="646" spans="2:34" x14ac:dyDescent="0.2">
      <c r="B646" s="71"/>
      <c r="AD646" s="71"/>
      <c r="AE646" s="71"/>
      <c r="AG646" s="71"/>
      <c r="AH646" s="71"/>
    </row>
    <row r="647" spans="2:34" x14ac:dyDescent="0.2">
      <c r="B647" s="73"/>
      <c r="AD647" s="73"/>
      <c r="AE647" s="73"/>
      <c r="AG647" s="73"/>
      <c r="AH647" s="73"/>
    </row>
    <row r="648" spans="2:34" x14ac:dyDescent="0.2">
      <c r="B648" s="71"/>
      <c r="AD648" s="71"/>
      <c r="AE648" s="71"/>
      <c r="AG648" s="71"/>
      <c r="AH648" s="71"/>
    </row>
    <row r="649" spans="2:34" x14ac:dyDescent="0.2">
      <c r="B649" s="71"/>
      <c r="AD649" s="71"/>
      <c r="AE649" s="71"/>
      <c r="AG649" s="71"/>
      <c r="AH649" s="71"/>
    </row>
    <row r="650" spans="2:34" x14ac:dyDescent="0.2">
      <c r="B650" s="71"/>
      <c r="AD650" s="71"/>
      <c r="AE650" s="71"/>
      <c r="AG650" s="71"/>
      <c r="AH650" s="71"/>
    </row>
    <row r="651" spans="2:34" x14ac:dyDescent="0.2">
      <c r="B651" s="73"/>
      <c r="AD651" s="73"/>
      <c r="AE651" s="73"/>
      <c r="AG651" s="73"/>
      <c r="AH651" s="73"/>
    </row>
    <row r="652" spans="2:34" x14ac:dyDescent="0.2">
      <c r="B652" s="71"/>
      <c r="AD652" s="71"/>
      <c r="AE652" s="71"/>
      <c r="AG652" s="71"/>
      <c r="AH652" s="71"/>
    </row>
    <row r="653" spans="2:34" x14ac:dyDescent="0.2">
      <c r="B653" s="71"/>
      <c r="AD653" s="71"/>
      <c r="AE653" s="71"/>
      <c r="AG653" s="71"/>
      <c r="AH653" s="71"/>
    </row>
    <row r="654" spans="2:34" x14ac:dyDescent="0.2">
      <c r="B654" s="71"/>
      <c r="AD654" s="71"/>
      <c r="AE654" s="71"/>
      <c r="AG654" s="71"/>
      <c r="AH654" s="71"/>
    </row>
    <row r="655" spans="2:34" x14ac:dyDescent="0.2">
      <c r="B655" s="73"/>
      <c r="AD655" s="73"/>
      <c r="AE655" s="73"/>
      <c r="AG655" s="73"/>
      <c r="AH655" s="73"/>
    </row>
    <row r="656" spans="2:34" x14ac:dyDescent="0.2">
      <c r="B656" s="71"/>
      <c r="AD656" s="71"/>
      <c r="AE656" s="71"/>
      <c r="AG656" s="71"/>
      <c r="AH656" s="71"/>
    </row>
    <row r="657" spans="2:34" x14ac:dyDescent="0.2">
      <c r="B657" s="71"/>
      <c r="AD657" s="71"/>
      <c r="AE657" s="71"/>
      <c r="AG657" s="71"/>
      <c r="AH657" s="71"/>
    </row>
    <row r="658" spans="2:34" x14ac:dyDescent="0.2">
      <c r="B658" s="71"/>
      <c r="AD658" s="71"/>
      <c r="AE658" s="71"/>
      <c r="AG658" s="71"/>
      <c r="AH658" s="71"/>
    </row>
    <row r="659" spans="2:34" x14ac:dyDescent="0.2">
      <c r="B659" s="73"/>
      <c r="AD659" s="73"/>
      <c r="AE659" s="73"/>
      <c r="AG659" s="73"/>
      <c r="AH659" s="73"/>
    </row>
    <row r="660" spans="2:34" x14ac:dyDescent="0.2">
      <c r="B660" s="71"/>
      <c r="AD660" s="71"/>
      <c r="AE660" s="71"/>
      <c r="AG660" s="71"/>
      <c r="AH660" s="71"/>
    </row>
    <row r="661" spans="2:34" x14ac:dyDescent="0.2">
      <c r="B661" s="71"/>
      <c r="AD661" s="71"/>
      <c r="AE661" s="71"/>
      <c r="AG661" s="71"/>
      <c r="AH661" s="71"/>
    </row>
    <row r="662" spans="2:34" x14ac:dyDescent="0.2">
      <c r="B662" s="71"/>
      <c r="AD662" s="71"/>
      <c r="AE662" s="71"/>
      <c r="AG662" s="71"/>
      <c r="AH662" s="71"/>
    </row>
    <row r="663" spans="2:34" x14ac:dyDescent="0.2">
      <c r="B663" s="73"/>
      <c r="AD663" s="73"/>
      <c r="AE663" s="73"/>
      <c r="AG663" s="73"/>
      <c r="AH663" s="73"/>
    </row>
    <row r="664" spans="2:34" x14ac:dyDescent="0.2">
      <c r="B664" s="71"/>
      <c r="AD664" s="71"/>
      <c r="AE664" s="71"/>
      <c r="AG664" s="71"/>
      <c r="AH664" s="71"/>
    </row>
    <row r="665" spans="2:34" x14ac:dyDescent="0.2">
      <c r="B665" s="71"/>
      <c r="AD665" s="71"/>
      <c r="AE665" s="71"/>
      <c r="AG665" s="71"/>
      <c r="AH665" s="71"/>
    </row>
    <row r="666" spans="2:34" x14ac:dyDescent="0.2">
      <c r="B666" s="71"/>
      <c r="AD666" s="71"/>
      <c r="AE666" s="71"/>
      <c r="AG666" s="71"/>
      <c r="AH666" s="71"/>
    </row>
    <row r="667" spans="2:34" x14ac:dyDescent="0.2">
      <c r="B667" s="73"/>
      <c r="AD667" s="73"/>
      <c r="AE667" s="73"/>
      <c r="AG667" s="73"/>
      <c r="AH667" s="73"/>
    </row>
    <row r="668" spans="2:34" x14ac:dyDescent="0.2">
      <c r="B668" s="71"/>
      <c r="AD668" s="71"/>
      <c r="AE668" s="71"/>
      <c r="AG668" s="71"/>
      <c r="AH668" s="71"/>
    </row>
    <row r="669" spans="2:34" x14ac:dyDescent="0.2">
      <c r="B669" s="71"/>
      <c r="AD669" s="71"/>
      <c r="AE669" s="71"/>
      <c r="AG669" s="71"/>
      <c r="AH669" s="71"/>
    </row>
    <row r="670" spans="2:34" x14ac:dyDescent="0.2">
      <c r="B670" s="71"/>
      <c r="AD670" s="71"/>
      <c r="AE670" s="71"/>
      <c r="AG670" s="71"/>
      <c r="AH670" s="71"/>
    </row>
    <row r="671" spans="2:34" x14ac:dyDescent="0.2">
      <c r="B671" s="73"/>
      <c r="AD671" s="73"/>
      <c r="AE671" s="73"/>
      <c r="AG671" s="73"/>
      <c r="AH671" s="73"/>
    </row>
    <row r="672" spans="2:34" x14ac:dyDescent="0.2">
      <c r="B672" s="71"/>
      <c r="AD672" s="71"/>
      <c r="AE672" s="71"/>
      <c r="AG672" s="71"/>
      <c r="AH672" s="71"/>
    </row>
    <row r="673" spans="2:34" x14ac:dyDescent="0.2">
      <c r="B673" s="71"/>
      <c r="AD673" s="71"/>
      <c r="AE673" s="71"/>
      <c r="AG673" s="71"/>
      <c r="AH673" s="71"/>
    </row>
    <row r="674" spans="2:34" x14ac:dyDescent="0.2">
      <c r="B674" s="71"/>
      <c r="AD674" s="71"/>
      <c r="AE674" s="71"/>
      <c r="AG674" s="71"/>
      <c r="AH674" s="71"/>
    </row>
    <row r="675" spans="2:34" x14ac:dyDescent="0.2">
      <c r="B675" s="73"/>
      <c r="AD675" s="73"/>
      <c r="AE675" s="73"/>
      <c r="AG675" s="73"/>
      <c r="AH675" s="73"/>
    </row>
    <row r="676" spans="2:34" x14ac:dyDescent="0.2">
      <c r="B676" s="71"/>
      <c r="AD676" s="71"/>
      <c r="AE676" s="71"/>
      <c r="AG676" s="71"/>
      <c r="AH676" s="71"/>
    </row>
    <row r="677" spans="2:34" x14ac:dyDescent="0.2">
      <c r="B677" s="71"/>
      <c r="AD677" s="71"/>
      <c r="AE677" s="71"/>
      <c r="AG677" s="71"/>
      <c r="AH677" s="71"/>
    </row>
    <row r="678" spans="2:34" x14ac:dyDescent="0.2">
      <c r="B678" s="71"/>
      <c r="AD678" s="71"/>
      <c r="AE678" s="71"/>
      <c r="AG678" s="71"/>
      <c r="AH678" s="71"/>
    </row>
    <row r="679" spans="2:34" x14ac:dyDescent="0.2">
      <c r="B679" s="73"/>
      <c r="AD679" s="73"/>
      <c r="AE679" s="73"/>
      <c r="AG679" s="73"/>
      <c r="AH679" s="73"/>
    </row>
    <row r="680" spans="2:34" x14ac:dyDescent="0.2">
      <c r="B680" s="71"/>
      <c r="AD680" s="71"/>
      <c r="AE680" s="71"/>
      <c r="AG680" s="71"/>
      <c r="AH680" s="71"/>
    </row>
    <row r="681" spans="2:34" x14ac:dyDescent="0.2">
      <c r="B681" s="71"/>
      <c r="AD681" s="71"/>
      <c r="AE681" s="71"/>
      <c r="AG681" s="71"/>
      <c r="AH681" s="71"/>
    </row>
    <row r="682" spans="2:34" x14ac:dyDescent="0.2">
      <c r="B682" s="71"/>
      <c r="AD682" s="71"/>
      <c r="AE682" s="71"/>
      <c r="AG682" s="71"/>
      <c r="AH682" s="71"/>
    </row>
    <row r="683" spans="2:34" x14ac:dyDescent="0.2">
      <c r="B683" s="73"/>
      <c r="AD683" s="73"/>
      <c r="AE683" s="73"/>
      <c r="AG683" s="73"/>
      <c r="AH683" s="73"/>
    </row>
    <row r="684" spans="2:34" x14ac:dyDescent="0.2">
      <c r="B684" s="71"/>
      <c r="AD684" s="71"/>
      <c r="AE684" s="71"/>
      <c r="AG684" s="71"/>
      <c r="AH684" s="71"/>
    </row>
    <row r="685" spans="2:34" x14ac:dyDescent="0.2">
      <c r="B685" s="71"/>
      <c r="AD685" s="71"/>
      <c r="AE685" s="71"/>
      <c r="AG685" s="71"/>
      <c r="AH685" s="71"/>
    </row>
    <row r="686" spans="2:34" x14ac:dyDescent="0.2">
      <c r="B686" s="71"/>
      <c r="AD686" s="71"/>
      <c r="AE686" s="71"/>
      <c r="AG686" s="71"/>
      <c r="AH686" s="71"/>
    </row>
    <row r="687" spans="2:34" x14ac:dyDescent="0.2">
      <c r="B687" s="73"/>
      <c r="AD687" s="73"/>
      <c r="AE687" s="73"/>
      <c r="AG687" s="73"/>
      <c r="AH687" s="73"/>
    </row>
    <row r="688" spans="2:34" x14ac:dyDescent="0.2">
      <c r="B688" s="71"/>
      <c r="AD688" s="71"/>
      <c r="AE688" s="71"/>
      <c r="AG688" s="71"/>
      <c r="AH688" s="71"/>
    </row>
    <row r="689" spans="2:34" x14ac:dyDescent="0.2">
      <c r="B689" s="71"/>
      <c r="AD689" s="71"/>
      <c r="AE689" s="71"/>
      <c r="AG689" s="71"/>
      <c r="AH689" s="71"/>
    </row>
    <row r="690" spans="2:34" x14ac:dyDescent="0.2">
      <c r="B690" s="71"/>
      <c r="AD690" s="71"/>
      <c r="AE690" s="71"/>
      <c r="AG690" s="71"/>
      <c r="AH690" s="71"/>
    </row>
    <row r="691" spans="2:34" x14ac:dyDescent="0.2">
      <c r="B691" s="73"/>
      <c r="AD691" s="73"/>
      <c r="AE691" s="73"/>
      <c r="AG691" s="73"/>
      <c r="AH691" s="73"/>
    </row>
    <row r="692" spans="2:34" x14ac:dyDescent="0.2">
      <c r="B692" s="71"/>
      <c r="AD692" s="71"/>
      <c r="AE692" s="71"/>
      <c r="AG692" s="71"/>
      <c r="AH692" s="71"/>
    </row>
    <row r="693" spans="2:34" x14ac:dyDescent="0.2">
      <c r="B693" s="71"/>
      <c r="AD693" s="71"/>
      <c r="AE693" s="71"/>
      <c r="AG693" s="71"/>
      <c r="AH693" s="71"/>
    </row>
    <row r="694" spans="2:34" x14ac:dyDescent="0.2">
      <c r="B694" s="71"/>
      <c r="AD694" s="71"/>
      <c r="AE694" s="71"/>
      <c r="AG694" s="71"/>
      <c r="AH694" s="71"/>
    </row>
    <row r="695" spans="2:34" x14ac:dyDescent="0.2">
      <c r="B695" s="73"/>
      <c r="AD695" s="73"/>
      <c r="AE695" s="73"/>
      <c r="AG695" s="73"/>
      <c r="AH695" s="73"/>
    </row>
    <row r="696" spans="2:34" x14ac:dyDescent="0.2">
      <c r="B696" s="71"/>
      <c r="AD696" s="71"/>
      <c r="AE696" s="71"/>
      <c r="AG696" s="71"/>
      <c r="AH696" s="71"/>
    </row>
    <row r="697" spans="2:34" x14ac:dyDescent="0.2">
      <c r="B697" s="71"/>
      <c r="AD697" s="71"/>
      <c r="AE697" s="71"/>
      <c r="AG697" s="71"/>
      <c r="AH697" s="71"/>
    </row>
    <row r="698" spans="2:34" x14ac:dyDescent="0.2">
      <c r="B698" s="71"/>
      <c r="AD698" s="71"/>
      <c r="AE698" s="71"/>
      <c r="AG698" s="71"/>
      <c r="AH698" s="71"/>
    </row>
    <row r="699" spans="2:34" x14ac:dyDescent="0.2">
      <c r="B699" s="73"/>
      <c r="AD699" s="73"/>
      <c r="AE699" s="73"/>
      <c r="AG699" s="73"/>
      <c r="AH699" s="73"/>
    </row>
    <row r="700" spans="2:34" x14ac:dyDescent="0.2">
      <c r="B700" s="71"/>
      <c r="AD700" s="71"/>
      <c r="AE700" s="71"/>
      <c r="AG700" s="71"/>
      <c r="AH700" s="71"/>
    </row>
    <row r="701" spans="2:34" x14ac:dyDescent="0.2">
      <c r="B701" s="71"/>
      <c r="AD701" s="71"/>
      <c r="AE701" s="71"/>
      <c r="AG701" s="71"/>
      <c r="AH701" s="71"/>
    </row>
    <row r="702" spans="2:34" x14ac:dyDescent="0.2">
      <c r="B702" s="71"/>
      <c r="AD702" s="71"/>
      <c r="AE702" s="71"/>
      <c r="AG702" s="71"/>
      <c r="AH702" s="71"/>
    </row>
    <row r="703" spans="2:34" x14ac:dyDescent="0.2">
      <c r="B703" s="73"/>
      <c r="AD703" s="73"/>
      <c r="AE703" s="73"/>
      <c r="AG703" s="73"/>
      <c r="AH703" s="73"/>
    </row>
    <row r="704" spans="2:34" x14ac:dyDescent="0.2">
      <c r="B704" s="71"/>
      <c r="AD704" s="71"/>
      <c r="AE704" s="71"/>
      <c r="AG704" s="71"/>
      <c r="AH704" s="71"/>
    </row>
    <row r="705" spans="2:34" x14ac:dyDescent="0.2">
      <c r="B705" s="71"/>
      <c r="AD705" s="71"/>
      <c r="AE705" s="71"/>
      <c r="AG705" s="71"/>
      <c r="AH705" s="71"/>
    </row>
    <row r="706" spans="2:34" x14ac:dyDescent="0.2">
      <c r="B706" s="71"/>
      <c r="AD706" s="71"/>
      <c r="AE706" s="71"/>
      <c r="AG706" s="71"/>
      <c r="AH706" s="71"/>
    </row>
    <row r="707" spans="2:34" x14ac:dyDescent="0.2">
      <c r="B707" s="73"/>
      <c r="AD707" s="73"/>
      <c r="AE707" s="73"/>
      <c r="AG707" s="73"/>
      <c r="AH707" s="73"/>
    </row>
    <row r="708" spans="2:34" x14ac:dyDescent="0.2">
      <c r="B708" s="71"/>
      <c r="AD708" s="71"/>
      <c r="AE708" s="71"/>
      <c r="AG708" s="71"/>
      <c r="AH708" s="71"/>
    </row>
    <row r="709" spans="2:34" x14ac:dyDescent="0.2">
      <c r="B709" s="71"/>
      <c r="AD709" s="71"/>
      <c r="AE709" s="71"/>
      <c r="AG709" s="71"/>
      <c r="AH709" s="71"/>
    </row>
    <row r="710" spans="2:34" x14ac:dyDescent="0.2">
      <c r="B710" s="71"/>
      <c r="AD710" s="71"/>
      <c r="AE710" s="71"/>
      <c r="AG710" s="71"/>
      <c r="AH710" s="71"/>
    </row>
    <row r="711" spans="2:34" x14ac:dyDescent="0.2">
      <c r="B711" s="73"/>
      <c r="AD711" s="73"/>
      <c r="AE711" s="73"/>
      <c r="AG711" s="73"/>
      <c r="AH711" s="73"/>
    </row>
    <row r="712" spans="2:34" x14ac:dyDescent="0.2">
      <c r="B712" s="71"/>
      <c r="AD712" s="71"/>
      <c r="AE712" s="71"/>
      <c r="AG712" s="71"/>
      <c r="AH712" s="71"/>
    </row>
    <row r="713" spans="2:34" x14ac:dyDescent="0.2">
      <c r="B713" s="71"/>
      <c r="AD713" s="71"/>
      <c r="AE713" s="71"/>
      <c r="AG713" s="71"/>
      <c r="AH713" s="71"/>
    </row>
    <row r="714" spans="2:34" x14ac:dyDescent="0.2">
      <c r="B714" s="71"/>
      <c r="AD714" s="71"/>
      <c r="AE714" s="71"/>
      <c r="AG714" s="71"/>
      <c r="AH714" s="71"/>
    </row>
    <row r="715" spans="2:34" x14ac:dyDescent="0.2">
      <c r="B715" s="73"/>
      <c r="AD715" s="73"/>
      <c r="AE715" s="73"/>
      <c r="AG715" s="73"/>
      <c r="AH715" s="73"/>
    </row>
    <row r="716" spans="2:34" x14ac:dyDescent="0.2">
      <c r="B716" s="71"/>
      <c r="AD716" s="71"/>
      <c r="AE716" s="71"/>
      <c r="AG716" s="71"/>
      <c r="AH716" s="71"/>
    </row>
    <row r="717" spans="2:34" x14ac:dyDescent="0.2">
      <c r="B717" s="71"/>
      <c r="AD717" s="71"/>
      <c r="AE717" s="71"/>
      <c r="AG717" s="71"/>
      <c r="AH717" s="71"/>
    </row>
    <row r="718" spans="2:34" x14ac:dyDescent="0.2">
      <c r="B718" s="71"/>
      <c r="AD718" s="71"/>
      <c r="AE718" s="71"/>
      <c r="AG718" s="71"/>
      <c r="AH718" s="71"/>
    </row>
    <row r="719" spans="2:34" x14ac:dyDescent="0.2">
      <c r="B719" s="73"/>
      <c r="AD719" s="73"/>
      <c r="AE719" s="73"/>
      <c r="AG719" s="73"/>
      <c r="AH719" s="73"/>
    </row>
    <row r="720" spans="2:34" x14ac:dyDescent="0.2">
      <c r="B720" s="71"/>
      <c r="AD720" s="71"/>
      <c r="AE720" s="71"/>
      <c r="AG720" s="71"/>
      <c r="AH720" s="71"/>
    </row>
    <row r="721" spans="2:34" x14ac:dyDescent="0.2">
      <c r="B721" s="71"/>
      <c r="AD721" s="71"/>
      <c r="AE721" s="71"/>
      <c r="AG721" s="71"/>
      <c r="AH721" s="71"/>
    </row>
    <row r="722" spans="2:34" x14ac:dyDescent="0.2">
      <c r="B722" s="71"/>
      <c r="AD722" s="71"/>
      <c r="AE722" s="71"/>
      <c r="AG722" s="71"/>
      <c r="AH722" s="71"/>
    </row>
    <row r="723" spans="2:34" x14ac:dyDescent="0.2">
      <c r="B723" s="73"/>
      <c r="AD723" s="73"/>
      <c r="AE723" s="73"/>
      <c r="AG723" s="73"/>
      <c r="AH723" s="73"/>
    </row>
    <row r="724" spans="2:34" x14ac:dyDescent="0.2">
      <c r="B724" s="71"/>
      <c r="AD724" s="71"/>
      <c r="AE724" s="71"/>
      <c r="AG724" s="71"/>
      <c r="AH724" s="71"/>
    </row>
    <row r="725" spans="2:34" x14ac:dyDescent="0.2">
      <c r="B725" s="71"/>
      <c r="AD725" s="71"/>
      <c r="AE725" s="71"/>
      <c r="AG725" s="71"/>
      <c r="AH725" s="71"/>
    </row>
    <row r="726" spans="2:34" x14ac:dyDescent="0.2">
      <c r="B726" s="71"/>
      <c r="AD726" s="71"/>
      <c r="AE726" s="71"/>
      <c r="AG726" s="71"/>
      <c r="AH726" s="71"/>
    </row>
    <row r="727" spans="2:34" x14ac:dyDescent="0.2">
      <c r="B727" s="73"/>
      <c r="AD727" s="73"/>
      <c r="AE727" s="73"/>
      <c r="AG727" s="73"/>
      <c r="AH727" s="73"/>
    </row>
    <row r="728" spans="2:34" x14ac:dyDescent="0.2">
      <c r="B728" s="71"/>
      <c r="AD728" s="71"/>
      <c r="AE728" s="71"/>
      <c r="AG728" s="71"/>
      <c r="AH728" s="71"/>
    </row>
    <row r="729" spans="2:34" x14ac:dyDescent="0.2">
      <c r="B729" s="71"/>
      <c r="AD729" s="71"/>
      <c r="AE729" s="71"/>
      <c r="AG729" s="71"/>
      <c r="AH729" s="71"/>
    </row>
    <row r="730" spans="2:34" x14ac:dyDescent="0.2">
      <c r="B730" s="71"/>
      <c r="AD730" s="71"/>
      <c r="AE730" s="71"/>
      <c r="AG730" s="71"/>
      <c r="AH730" s="71"/>
    </row>
    <row r="731" spans="2:34" x14ac:dyDescent="0.2">
      <c r="B731" s="73"/>
      <c r="AD731" s="73"/>
      <c r="AE731" s="73"/>
      <c r="AG731" s="73"/>
      <c r="AH731" s="73"/>
    </row>
    <row r="732" spans="2:34" x14ac:dyDescent="0.2">
      <c r="B732" s="71"/>
      <c r="AD732" s="71"/>
      <c r="AE732" s="71"/>
      <c r="AG732" s="71"/>
      <c r="AH732" s="71"/>
    </row>
    <row r="733" spans="2:34" x14ac:dyDescent="0.2">
      <c r="B733" s="71"/>
      <c r="AD733" s="71"/>
      <c r="AE733" s="71"/>
      <c r="AG733" s="71"/>
      <c r="AH733" s="71"/>
    </row>
    <row r="734" spans="2:34" x14ac:dyDescent="0.2">
      <c r="B734" s="71"/>
      <c r="AD734" s="71"/>
      <c r="AE734" s="71"/>
      <c r="AG734" s="71"/>
      <c r="AH734" s="71"/>
    </row>
    <row r="735" spans="2:34" x14ac:dyDescent="0.2">
      <c r="B735" s="73"/>
      <c r="AD735" s="73"/>
      <c r="AE735" s="73"/>
      <c r="AG735" s="73"/>
      <c r="AH735" s="73"/>
    </row>
    <row r="736" spans="2:34" x14ac:dyDescent="0.2">
      <c r="B736" s="71"/>
      <c r="AD736" s="71"/>
      <c r="AE736" s="71"/>
      <c r="AG736" s="71"/>
      <c r="AH736" s="71"/>
    </row>
  </sheetData>
  <mergeCells count="1">
    <mergeCell ref="AA2:AB2"/>
  </mergeCells>
  <conditionalFormatting sqref="AG27:AG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:AG2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7:AH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:AH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3" location="'IRI FR VT'!A1" display="IRI VT FR" xr:uid="{00000000-0004-0000-0400-000000000000}"/>
    <hyperlink ref="C3" location="'IRI FR EFF'!A1" display="IRI FR EFF" xr:uid="{00000000-0004-0000-0400-000001000000}"/>
    <hyperlink ref="N3" location="'IRI UK'!A1" display="IRI UK" xr:uid="{00000000-0004-0000-0400-000002000000}"/>
    <hyperlink ref="P3" location="'IRI ALL'!A1" display="IRI ALL" xr:uid="{00000000-0004-0000-0400-000003000000}"/>
    <hyperlink ref="Q3" location="'IRI PB'!A1" display="IRI PB" xr:uid="{00000000-0004-0000-0400-000004000000}"/>
    <hyperlink ref="D3" location="KANTAR!A1" display="KANTAR" xr:uid="{00000000-0004-0000-0400-000005000000}"/>
    <hyperlink ref="R3" location="'GfK BE, donnees All'!A1" display="GfK BE" xr:uid="{00000000-0004-0000-0400-000006000000}"/>
    <hyperlink ref="S3" location="'GfK BE, donnees All'!A1" display="GfK ALL" xr:uid="{00000000-0004-0000-0400-000007000000}"/>
    <hyperlink ref="E3" location="'PANEL CHR FRANCE'!P1" display="CHR France" xr:uid="{00000000-0004-0000-0400-000008000000}"/>
    <hyperlink ref="F3" location="'CHR RO + Panel'!A1" display="ROCHR" xr:uid="{00000000-0004-0000-0400-000009000000}"/>
    <hyperlink ref="G3" location="'RO Cavistes'!P1" display="RO Cavistes" xr:uid="{00000000-0004-0000-0400-00000A000000}"/>
    <hyperlink ref="T3" location="GTI!P1" display="GTI" xr:uid="{00000000-0004-0000-0400-00000B000000}"/>
    <hyperlink ref="U3" location="'DETAIL MONOPOLES'!P1" display="MONOPOLES" xr:uid="{00000000-0004-0000-0400-00000C000000}"/>
    <hyperlink ref="V3" location="'WINE INTELLIGENCE'!P1" display="WINE INTELLIGENCE 2021" xr:uid="{00000000-0004-0000-0400-00000D000000}"/>
    <hyperlink ref="E3" location="'CHR RO + Panel'!A1" display="CHR France" xr:uid="{00000000-0004-0000-0400-00000E000000}"/>
    <hyperlink ref="H3" location="'RO e-commerce'!A1" display="RO e-commerce" xr:uid="{00000000-0004-0000-0400-00000F000000}"/>
    <hyperlink ref="O3" location="'IRI UK'!A1" display="IRI UK" xr:uid="{00000000-0004-0000-0400-000010000000}"/>
    <hyperlink ref="O3" location="'IRI UK'!A1" display="IRI UK VEff" xr:uid="{00000000-0004-0000-0400-000011000000}"/>
    <hyperlink ref="N3" location="'IRI UK'!A1" display="IRI UK VT" xr:uid="{00000000-0004-0000-0400-000012000000}"/>
    <hyperlink ref="J3" location="'OUTIL RO'!A1" display="OUTIL RO" xr:uid="{00000000-0004-0000-0400-000013000000}"/>
    <hyperlink ref="K3" location="'CAVISTES IRI'!A1" display="CavIstes IRI" xr:uid="{00000000-0004-0000-0400-000014000000}"/>
    <hyperlink ref="W3" location="'Etude USA'!A1" display="Etude USA" xr:uid="{00000000-0004-0000-0400-000016000000}"/>
    <hyperlink ref="I3" location="'Etude quinquennale '!A1" display="Etude quinquennale" xr:uid="{00000000-0004-0000-0400-000017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firstPageNumber="0" fitToWidth="0" orientation="landscape" r:id="rId1"/>
  <headerFooter>
    <oddHeader>&amp;C&amp;F</oddHeader>
    <oddFooter>Page &amp;P de &amp;N</oddFooter>
  </headerFooter>
  <colBreaks count="2" manualBreakCount="2">
    <brk id="12" max="1048575" man="1"/>
    <brk id="24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FF"/>
  </sheetPr>
  <dimension ref="A1:AMJ40"/>
  <sheetViews>
    <sheetView workbookViewId="0">
      <selection sqref="A1:C1"/>
    </sheetView>
  </sheetViews>
  <sheetFormatPr baseColWidth="10" defaultColWidth="9.109375" defaultRowHeight="14.4" x14ac:dyDescent="0.3"/>
  <cols>
    <col min="1" max="1" width="9.109375" style="1"/>
    <col min="2" max="2" width="9.109375" style="4"/>
    <col min="3" max="3" width="9.109375" style="7"/>
    <col min="4" max="4" width="9.109375" style="4"/>
    <col min="5" max="5" width="9.109375" style="8"/>
    <col min="6" max="7" width="9.109375" style="5"/>
    <col min="8" max="8" width="9.109375" style="8"/>
    <col min="9" max="9" width="9.109375" style="5"/>
    <col min="10" max="10" width="9.109375" style="8"/>
    <col min="11" max="12" width="9.109375" style="5"/>
    <col min="13" max="13" width="9.109375" style="4"/>
    <col min="14" max="15" width="9.109375" style="5"/>
    <col min="16" max="16" width="9.109375" style="4"/>
    <col min="17" max="18" width="9.109375" style="5"/>
    <col min="19" max="19" width="9.109375" style="4"/>
    <col min="20" max="21" width="9.109375" style="5"/>
    <col min="22" max="22" width="9.109375" style="8"/>
    <col min="23" max="23" width="9.109375" style="1"/>
    <col min="24" max="24" width="9.109375" style="3"/>
    <col min="25" max="25" width="9.109375" style="7"/>
    <col min="26" max="1024" width="9.109375" style="1"/>
  </cols>
  <sheetData>
    <row r="1" spans="1:1024" s="9" customFormat="1" ht="15" customHeight="1" x14ac:dyDescent="0.3">
      <c r="A1" s="455" t="s">
        <v>81</v>
      </c>
      <c r="B1" s="455"/>
      <c r="C1" s="455"/>
      <c r="D1" s="29" t="s">
        <v>82</v>
      </c>
      <c r="E1" s="13"/>
      <c r="F1" s="12"/>
      <c r="G1" s="12"/>
      <c r="H1" s="13"/>
      <c r="I1" s="12"/>
      <c r="J1" s="13"/>
      <c r="K1" s="12"/>
      <c r="L1" s="12"/>
      <c r="M1" s="11"/>
      <c r="N1" s="12"/>
      <c r="O1" s="12"/>
      <c r="P1" s="11"/>
      <c r="Q1" s="12"/>
      <c r="R1" s="12"/>
      <c r="S1" s="11"/>
      <c r="T1" s="12"/>
      <c r="U1" s="12"/>
      <c r="V1" s="13"/>
      <c r="X1" s="10"/>
      <c r="Y1" s="14"/>
    </row>
    <row r="2" spans="1:1024" ht="15.75" customHeight="1" x14ac:dyDescent="0.3">
      <c r="A2" s="15"/>
      <c r="B2" s="456" t="s">
        <v>83</v>
      </c>
      <c r="C2" s="456"/>
      <c r="D2" s="456"/>
      <c r="E2" s="456"/>
      <c r="F2" s="456"/>
      <c r="G2" s="12"/>
      <c r="H2" s="13"/>
      <c r="I2" s="12"/>
      <c r="J2" s="13"/>
      <c r="K2" s="12"/>
      <c r="L2" s="12"/>
      <c r="M2" s="11"/>
      <c r="N2" s="12"/>
      <c r="O2" s="12"/>
      <c r="P2" s="11"/>
      <c r="Q2" s="12"/>
      <c r="R2" s="12"/>
      <c r="S2" s="11"/>
      <c r="T2" s="12"/>
      <c r="U2" s="12"/>
      <c r="V2" s="13"/>
      <c r="W2"/>
      <c r="X2" s="10"/>
      <c r="Y2" s="1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3">
      <c r="A3" s="30"/>
      <c r="B3" s="30"/>
      <c r="C3" s="30"/>
      <c r="D3" s="29"/>
      <c r="E3" s="13"/>
      <c r="F3" s="12"/>
      <c r="G3" s="12"/>
      <c r="H3" s="13"/>
      <c r="I3" s="12"/>
      <c r="J3" s="13"/>
      <c r="K3" s="12"/>
      <c r="L3" s="12"/>
      <c r="M3" s="11"/>
      <c r="N3" s="12"/>
      <c r="O3" s="12"/>
      <c r="P3" s="11"/>
      <c r="Q3" s="12"/>
      <c r="R3" s="12"/>
      <c r="S3" s="11"/>
      <c r="T3" s="12"/>
      <c r="U3" s="12"/>
      <c r="V3" s="13"/>
      <c r="W3"/>
      <c r="X3" s="10"/>
      <c r="Y3" s="1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8.8" x14ac:dyDescent="0.3">
      <c r="A4" s="28" t="s">
        <v>84</v>
      </c>
      <c r="B4" s="31" t="s">
        <v>77</v>
      </c>
      <c r="C4" s="32" t="s">
        <v>85</v>
      </c>
      <c r="D4"/>
      <c r="E4" s="28" t="s">
        <v>84</v>
      </c>
      <c r="F4" s="31" t="s">
        <v>77</v>
      </c>
      <c r="G4" s="32" t="s">
        <v>86</v>
      </c>
      <c r="H4" s="13"/>
      <c r="I4" s="12"/>
      <c r="J4" s="13"/>
      <c r="K4" s="12"/>
      <c r="L4" s="12"/>
      <c r="M4" s="11"/>
      <c r="N4" s="12"/>
      <c r="O4" s="12"/>
      <c r="P4" s="11"/>
      <c r="Q4" s="12"/>
      <c r="R4" s="12"/>
      <c r="S4" s="11"/>
      <c r="T4" s="12"/>
      <c r="U4" s="12"/>
      <c r="V4" s="13"/>
      <c r="W4"/>
      <c r="X4" s="10"/>
      <c r="Y4" s="1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2" x14ac:dyDescent="0.3">
      <c r="A5" s="33" t="s">
        <v>87</v>
      </c>
      <c r="B5" s="34" t="e">
        <f>C19+C26+C35</f>
        <v>#REF!</v>
      </c>
      <c r="C5" s="35" t="e">
        <f>B5*1.2</f>
        <v>#REF!</v>
      </c>
      <c r="D5"/>
      <c r="E5" s="33" t="s">
        <v>87</v>
      </c>
      <c r="F5" s="34">
        <f>G19+G26+G35</f>
        <v>837923.05</v>
      </c>
      <c r="G5" s="35">
        <f>F5*1.2</f>
        <v>1005507.66</v>
      </c>
      <c r="H5" s="13"/>
      <c r="I5" s="12"/>
      <c r="J5" s="13"/>
      <c r="K5" s="12"/>
      <c r="L5" s="12"/>
      <c r="M5" s="11"/>
      <c r="N5" s="12"/>
      <c r="O5" s="12"/>
      <c r="P5" s="11"/>
      <c r="Q5" s="12"/>
      <c r="R5" s="12"/>
      <c r="S5" s="11"/>
      <c r="T5" s="12"/>
      <c r="U5" s="12"/>
      <c r="V5" s="13"/>
      <c r="W5"/>
      <c r="X5" s="10"/>
      <c r="Y5" s="1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3">
      <c r="A6" s="30"/>
      <c r="B6" s="30"/>
      <c r="C6" s="30"/>
      <c r="D6" s="29"/>
      <c r="E6" s="13"/>
      <c r="F6" s="12"/>
      <c r="G6" s="12"/>
      <c r="H6" s="13"/>
      <c r="I6" s="12"/>
      <c r="J6" s="13"/>
      <c r="K6" s="12"/>
      <c r="L6" s="12"/>
      <c r="M6" s="11"/>
      <c r="N6" s="12"/>
      <c r="O6" s="12"/>
      <c r="P6" s="11"/>
      <c r="Q6" s="12"/>
      <c r="R6" s="12"/>
      <c r="S6" s="11"/>
      <c r="T6" s="12"/>
      <c r="U6" s="12"/>
      <c r="V6" s="13"/>
      <c r="W6"/>
      <c r="X6" s="10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3">
      <c r="A7" s="36"/>
      <c r="B7" s="457" t="s">
        <v>88</v>
      </c>
      <c r="C7" s="457"/>
      <c r="D7" s="457"/>
      <c r="E7" s="36"/>
      <c r="F7" s="457" t="s">
        <v>89</v>
      </c>
      <c r="G7" s="457"/>
      <c r="H7" s="45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8.8" x14ac:dyDescent="0.3">
      <c r="A8" s="9" t="s">
        <v>90</v>
      </c>
      <c r="B8" s="37" t="s">
        <v>39</v>
      </c>
      <c r="C8" s="23" t="s">
        <v>91</v>
      </c>
      <c r="D8" s="37" t="s">
        <v>80</v>
      </c>
      <c r="E8" s="9" t="s">
        <v>90</v>
      </c>
      <c r="F8" s="37" t="s">
        <v>39</v>
      </c>
      <c r="G8" s="23" t="s">
        <v>91</v>
      </c>
      <c r="H8" s="37" t="s">
        <v>80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57.6" x14ac:dyDescent="0.3">
      <c r="A9" s="17" t="s">
        <v>92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7" t="s">
        <v>92</v>
      </c>
      <c r="F9" s="23">
        <v>478994</v>
      </c>
      <c r="G9" s="23">
        <v>346790</v>
      </c>
      <c r="H9" s="23">
        <v>132204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3.2" x14ac:dyDescent="0.3">
      <c r="A10" s="17" t="s">
        <v>93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7" t="s">
        <v>93</v>
      </c>
      <c r="F10" s="23">
        <v>0</v>
      </c>
      <c r="G10" s="23">
        <v>0</v>
      </c>
      <c r="H10" s="23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86.4" x14ac:dyDescent="0.3">
      <c r="A11" s="17" t="s">
        <v>94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7" t="s">
        <v>94</v>
      </c>
      <c r="F11" s="23">
        <v>114111</v>
      </c>
      <c r="G11" s="23">
        <v>57055</v>
      </c>
      <c r="H11" s="23">
        <v>45644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15.2" x14ac:dyDescent="0.3">
      <c r="A12" s="17" t="s">
        <v>79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7" t="s">
        <v>79</v>
      </c>
      <c r="F12" s="23">
        <v>125910</v>
      </c>
      <c r="G12" s="23">
        <v>62955</v>
      </c>
      <c r="H12" s="23">
        <v>50364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7.6" x14ac:dyDescent="0.3">
      <c r="A13" s="17" t="s">
        <v>95</v>
      </c>
      <c r="B13" s="23" t="e">
        <f>#REF!</f>
        <v>#REF!</v>
      </c>
      <c r="C13" s="23" t="e">
        <f>#REF!</f>
        <v>#REF!</v>
      </c>
      <c r="D13" s="23" t="e">
        <f>#REF!</f>
        <v>#REF!</v>
      </c>
      <c r="E13" s="17" t="s">
        <v>95</v>
      </c>
      <c r="F13" s="23">
        <v>88782</v>
      </c>
      <c r="G13" s="23">
        <v>44391</v>
      </c>
      <c r="H13" s="23">
        <v>35513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2" x14ac:dyDescent="0.3">
      <c r="A14" s="17" t="s">
        <v>96</v>
      </c>
      <c r="B14" s="23" t="e">
        <f>#REF!</f>
        <v>#REF!</v>
      </c>
      <c r="C14" s="23" t="e">
        <f>#REF!</f>
        <v>#REF!</v>
      </c>
      <c r="D14" s="23" t="e">
        <f>#REF!</f>
        <v>#REF!</v>
      </c>
      <c r="E14" s="17" t="s">
        <v>96</v>
      </c>
      <c r="F14" s="23">
        <v>213623</v>
      </c>
      <c r="G14" s="23">
        <v>116000</v>
      </c>
      <c r="H14" s="23">
        <v>97623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72" x14ac:dyDescent="0.3">
      <c r="A15" s="17" t="s">
        <v>97</v>
      </c>
      <c r="B15" s="23" t="e">
        <f>#REF!</f>
        <v>#REF!</v>
      </c>
      <c r="C15" s="23" t="e">
        <f>#REF!</f>
        <v>#REF!</v>
      </c>
      <c r="D15" s="23" t="e">
        <f>#REF!</f>
        <v>#REF!</v>
      </c>
      <c r="E15" s="17" t="s">
        <v>97</v>
      </c>
      <c r="F15" s="23">
        <v>53158</v>
      </c>
      <c r="G15" s="23">
        <v>31895</v>
      </c>
      <c r="H15" s="23">
        <v>21263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15.2" x14ac:dyDescent="0.3">
      <c r="A16" s="17" t="s">
        <v>98</v>
      </c>
      <c r="B16" s="23" t="e">
        <f>#REF!</f>
        <v>#REF!</v>
      </c>
      <c r="C16" s="23" t="e">
        <f>#REF!</f>
        <v>#REF!</v>
      </c>
      <c r="D16" s="23" t="e">
        <f>#REF!</f>
        <v>#REF!</v>
      </c>
      <c r="E16" s="17" t="s">
        <v>98</v>
      </c>
      <c r="F16" s="23">
        <v>42799</v>
      </c>
      <c r="G16" s="23">
        <v>25679</v>
      </c>
      <c r="H16" s="23">
        <v>17120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15.2" x14ac:dyDescent="0.3">
      <c r="A17" s="38" t="s">
        <v>99</v>
      </c>
      <c r="B17" s="39">
        <v>50000</v>
      </c>
      <c r="C17" s="39">
        <v>30000</v>
      </c>
      <c r="D17" s="39">
        <v>20000</v>
      </c>
      <c r="E17" s="17"/>
      <c r="F17" s="17"/>
      <c r="G17" s="17"/>
      <c r="H17" s="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0.75" customHeight="1" x14ac:dyDescent="0.3">
      <c r="A18" s="40"/>
      <c r="B18" s="41"/>
      <c r="C18" s="42"/>
      <c r="D18" s="41"/>
      <c r="E18" s="43" t="s">
        <v>100</v>
      </c>
      <c r="F18" s="44">
        <v>141608</v>
      </c>
      <c r="G18" s="44">
        <v>35402</v>
      </c>
      <c r="H18" s="44">
        <v>106206</v>
      </c>
      <c r="I18" s="458" t="s">
        <v>101</v>
      </c>
      <c r="J18" s="45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9" customFormat="1" ht="43.2" x14ac:dyDescent="0.3">
      <c r="A19" s="16" t="s">
        <v>102</v>
      </c>
      <c r="B19" s="45" t="e">
        <f>SUM(B9:B18)</f>
        <v>#REF!</v>
      </c>
      <c r="C19" s="45" t="e">
        <f>SUM(C9:C18)</f>
        <v>#REF!</v>
      </c>
      <c r="D19" s="45" t="e">
        <f>SUM(D9:D18)</f>
        <v>#REF!</v>
      </c>
      <c r="E19" s="46" t="s">
        <v>102</v>
      </c>
      <c r="F19" s="47">
        <f>SUM(F9:F18)</f>
        <v>1258985</v>
      </c>
      <c r="G19" s="47">
        <f>SUM(G9:G18)</f>
        <v>720167</v>
      </c>
      <c r="H19" s="47">
        <f>SUM(H9:H18)</f>
        <v>505937</v>
      </c>
      <c r="I19" s="12"/>
      <c r="J19" s="13"/>
      <c r="K19" s="12"/>
      <c r="L19" s="12"/>
      <c r="M19" s="11"/>
      <c r="N19" s="12"/>
      <c r="O19" s="12"/>
      <c r="P19" s="11"/>
      <c r="Q19" s="12"/>
      <c r="R19" s="12"/>
      <c r="S19" s="11"/>
      <c r="T19" s="12"/>
      <c r="U19" s="12"/>
      <c r="V19" s="13"/>
      <c r="X19" s="10"/>
      <c r="Y19" s="14"/>
    </row>
    <row r="20" spans="1:1024" x14ac:dyDescent="0.3">
      <c r="A20" s="9"/>
      <c r="B20" s="12"/>
      <c r="C20" s="12"/>
      <c r="D20" s="12"/>
      <c r="E20" s="9"/>
      <c r="F20"/>
      <c r="G20" s="12"/>
      <c r="H20" s="12"/>
      <c r="I20" s="12"/>
      <c r="J20" s="13"/>
      <c r="K20" s="12"/>
      <c r="L20" s="12"/>
      <c r="M20" s="11"/>
      <c r="N20" s="12"/>
      <c r="O20" s="12"/>
      <c r="P20" s="11"/>
      <c r="Q20" s="12"/>
      <c r="R20" s="12"/>
      <c r="S20" s="11"/>
      <c r="T20" s="12"/>
      <c r="U20" s="12"/>
      <c r="V20" s="13"/>
      <c r="X20" s="10"/>
      <c r="Y20" s="14"/>
    </row>
    <row r="21" spans="1:1024" ht="15" customHeight="1" x14ac:dyDescent="0.3">
      <c r="A21" s="36"/>
      <c r="B21" s="459" t="s">
        <v>88</v>
      </c>
      <c r="C21" s="459"/>
      <c r="D21" s="459"/>
      <c r="E21" s="36"/>
      <c r="F21" s="459" t="s">
        <v>89</v>
      </c>
      <c r="G21" s="459"/>
      <c r="H21" s="459" t="s">
        <v>80</v>
      </c>
    </row>
    <row r="22" spans="1:1024" ht="57.6" x14ac:dyDescent="0.3">
      <c r="A22" s="22" t="s">
        <v>103</v>
      </c>
      <c r="B22" s="48" t="s">
        <v>39</v>
      </c>
      <c r="C22" s="23" t="s">
        <v>91</v>
      </c>
      <c r="D22" s="23" t="s">
        <v>80</v>
      </c>
      <c r="E22" s="22" t="s">
        <v>103</v>
      </c>
      <c r="F22" s="48" t="s">
        <v>39</v>
      </c>
      <c r="G22" s="23" t="s">
        <v>91</v>
      </c>
      <c r="H22" s="23" t="s">
        <v>80</v>
      </c>
    </row>
    <row r="23" spans="1:1024" ht="57.6" x14ac:dyDescent="0.3">
      <c r="A23" s="17" t="s">
        <v>104</v>
      </c>
      <c r="B23" s="23" t="e">
        <f>#REF!</f>
        <v>#REF!</v>
      </c>
      <c r="C23" s="23" t="e">
        <f>#REF!</f>
        <v>#REF!</v>
      </c>
      <c r="D23" s="26" t="s">
        <v>105</v>
      </c>
      <c r="E23" s="17" t="s">
        <v>104</v>
      </c>
      <c r="F23" s="23">
        <v>60000</v>
      </c>
      <c r="G23" s="23">
        <v>60000</v>
      </c>
      <c r="H23" s="26" t="s">
        <v>106</v>
      </c>
    </row>
    <row r="24" spans="1:1024" ht="57.6" x14ac:dyDescent="0.3">
      <c r="A24" s="17" t="s">
        <v>107</v>
      </c>
      <c r="B24" s="23" t="e">
        <f>#REF!</f>
        <v>#REF!</v>
      </c>
      <c r="C24" s="23" t="e">
        <f>#REF!</f>
        <v>#REF!</v>
      </c>
      <c r="D24" s="23">
        <v>0</v>
      </c>
      <c r="E24" s="17" t="s">
        <v>107</v>
      </c>
      <c r="F24" s="23">
        <v>30000</v>
      </c>
      <c r="G24" s="23">
        <v>30000</v>
      </c>
      <c r="H24" s="23">
        <v>0</v>
      </c>
    </row>
    <row r="25" spans="1:1024" x14ac:dyDescent="0.3">
      <c r="A25" s="49" t="s">
        <v>13</v>
      </c>
      <c r="B25" s="50" t="e">
        <f>#REF!</f>
        <v>#REF!</v>
      </c>
      <c r="C25" s="50" t="e">
        <f>#REF!</f>
        <v>#REF!</v>
      </c>
      <c r="D25" s="50">
        <v>0</v>
      </c>
      <c r="E25" s="49" t="s">
        <v>13</v>
      </c>
      <c r="F25" s="50">
        <v>14000</v>
      </c>
      <c r="G25" s="50">
        <v>14000</v>
      </c>
      <c r="H25" s="50">
        <v>0</v>
      </c>
    </row>
    <row r="26" spans="1:1024" ht="72" x14ac:dyDescent="0.3">
      <c r="A26" s="16" t="s">
        <v>108</v>
      </c>
      <c r="B26" s="45" t="e">
        <f>SUM(B23:B25)</f>
        <v>#REF!</v>
      </c>
      <c r="C26" s="45" t="e">
        <f>SUM(C23:C25)</f>
        <v>#REF!</v>
      </c>
      <c r="D26" s="45">
        <f>SUM(D23:D25)</f>
        <v>0</v>
      </c>
      <c r="E26" s="16" t="s">
        <v>108</v>
      </c>
      <c r="F26" s="45">
        <f>SUM(F23:F25)</f>
        <v>104000</v>
      </c>
      <c r="G26" s="45">
        <f>SUM(G23:G25)</f>
        <v>104000</v>
      </c>
      <c r="H26" s="45">
        <f>SUM(H23:H25)</f>
        <v>0</v>
      </c>
    </row>
    <row r="27" spans="1:1024" x14ac:dyDescent="0.3">
      <c r="A27"/>
      <c r="B27"/>
      <c r="C27" s="5"/>
      <c r="D27"/>
      <c r="E27" s="1"/>
      <c r="F27" s="4"/>
      <c r="G27"/>
      <c r="H27" s="4"/>
    </row>
    <row r="28" spans="1:1024" ht="15" customHeight="1" x14ac:dyDescent="0.3">
      <c r="A28" s="36"/>
      <c r="B28" s="457" t="s">
        <v>109</v>
      </c>
      <c r="C28" s="457"/>
      <c r="D28" s="457"/>
      <c r="E28" s="36"/>
      <c r="F28" s="457" t="s">
        <v>110</v>
      </c>
      <c r="G28" s="457"/>
      <c r="H28" s="457"/>
    </row>
    <row r="29" spans="1:1024" ht="28.8" x14ac:dyDescent="0.3">
      <c r="A29" s="22" t="s">
        <v>46</v>
      </c>
      <c r="B29" s="37" t="s">
        <v>111</v>
      </c>
      <c r="C29" s="23" t="s">
        <v>112</v>
      </c>
      <c r="D29" s="37" t="s">
        <v>113</v>
      </c>
      <c r="E29" s="20" t="s">
        <v>46</v>
      </c>
      <c r="F29" s="37"/>
      <c r="G29" s="23" t="s">
        <v>112</v>
      </c>
      <c r="H29" s="37" t="s">
        <v>113</v>
      </c>
    </row>
    <row r="30" spans="1:1024" ht="43.2" x14ac:dyDescent="0.3">
      <c r="A30" s="1" t="s">
        <v>114</v>
      </c>
      <c r="B30" s="51" t="e">
        <f>#REF!</f>
        <v>#REF!</v>
      </c>
      <c r="C30" s="23" t="e">
        <f>#REF!</f>
        <v>#REF!</v>
      </c>
      <c r="D30" s="23" t="e">
        <f>C30*1.2</f>
        <v>#REF!</v>
      </c>
      <c r="E30" s="17" t="s">
        <v>114</v>
      </c>
      <c r="F30" s="51">
        <v>185</v>
      </c>
      <c r="G30" s="23">
        <v>136.01</v>
      </c>
      <c r="H30" s="52">
        <f t="shared" ref="H30:H35" si="0">G30*1.2</f>
        <v>163.21199999999999</v>
      </c>
    </row>
    <row r="31" spans="1:1024" ht="43.2" x14ac:dyDescent="0.3">
      <c r="A31" s="17" t="s">
        <v>115</v>
      </c>
      <c r="B31" s="51" t="e">
        <f>#REF!</f>
        <v>#REF!</v>
      </c>
      <c r="C31" s="23" t="e">
        <f>#REF!</f>
        <v>#REF!</v>
      </c>
      <c r="D31" s="23" t="e">
        <f>C31*1.2</f>
        <v>#REF!</v>
      </c>
      <c r="E31" s="1" t="s">
        <v>115</v>
      </c>
      <c r="F31" s="51">
        <v>10204.030000000001</v>
      </c>
      <c r="G31" s="23">
        <v>8498</v>
      </c>
      <c r="H31" s="52">
        <f t="shared" si="0"/>
        <v>10197.6</v>
      </c>
    </row>
    <row r="32" spans="1:1024" ht="28.8" x14ac:dyDescent="0.3">
      <c r="A32" s="17" t="s">
        <v>116</v>
      </c>
      <c r="B32" s="51" t="e">
        <f>#REF!</f>
        <v>#REF!</v>
      </c>
      <c r="C32" s="23" t="e">
        <f>#REF!</f>
        <v>#REF!</v>
      </c>
      <c r="D32" s="23" t="e">
        <f>C32*1.2</f>
        <v>#REF!</v>
      </c>
      <c r="E32" s="17" t="s">
        <v>116</v>
      </c>
      <c r="F32" s="51">
        <v>1500</v>
      </c>
      <c r="G32" s="23">
        <v>1137.01</v>
      </c>
      <c r="H32" s="52">
        <f t="shared" si="0"/>
        <v>1364.412</v>
      </c>
    </row>
    <row r="33" spans="1:8" ht="28.8" x14ac:dyDescent="0.3">
      <c r="A33" s="17" t="s">
        <v>117</v>
      </c>
      <c r="B33" s="48" t="e">
        <f>#REF!</f>
        <v>#REF!</v>
      </c>
      <c r="C33" s="23" t="e">
        <f>#REF!</f>
        <v>#REF!</v>
      </c>
      <c r="D33" s="23" t="e">
        <f>C33*1.2</f>
        <v>#REF!</v>
      </c>
      <c r="E33" s="17" t="s">
        <v>117</v>
      </c>
      <c r="F33" s="48">
        <v>4000</v>
      </c>
      <c r="G33" s="23">
        <v>485.03</v>
      </c>
      <c r="H33" s="52">
        <f t="shared" si="0"/>
        <v>582.03599999999994</v>
      </c>
    </row>
    <row r="34" spans="1:8" ht="43.2" x14ac:dyDescent="0.3">
      <c r="A34" s="49" t="s">
        <v>118</v>
      </c>
      <c r="B34"/>
      <c r="C34" s="50" t="e">
        <f>#REF!</f>
        <v>#REF!</v>
      </c>
      <c r="D34" s="50" t="e">
        <f>C34*1.2</f>
        <v>#REF!</v>
      </c>
      <c r="E34" s="49" t="s">
        <v>118</v>
      </c>
      <c r="F34" s="4"/>
      <c r="G34" s="50">
        <v>3500</v>
      </c>
      <c r="H34" s="53">
        <f t="shared" si="0"/>
        <v>4200</v>
      </c>
    </row>
    <row r="35" spans="1:8" ht="57.6" x14ac:dyDescent="0.3">
      <c r="A35" s="54" t="s">
        <v>119</v>
      </c>
      <c r="B35" s="55"/>
      <c r="C35" s="45" t="e">
        <f>SUM(C30:C34)</f>
        <v>#REF!</v>
      </c>
      <c r="D35" s="45" t="e">
        <f>SUM(D30:D34)</f>
        <v>#REF!</v>
      </c>
      <c r="E35" s="56" t="s">
        <v>119</v>
      </c>
      <c r="F35" s="55"/>
      <c r="G35" s="45">
        <v>13756.05</v>
      </c>
      <c r="H35" s="57">
        <f t="shared" si="0"/>
        <v>16507.259999999998</v>
      </c>
    </row>
    <row r="36" spans="1:8" ht="15" customHeight="1" x14ac:dyDescent="0.3">
      <c r="A36"/>
      <c r="B36"/>
      <c r="C36"/>
      <c r="D36" s="58" t="s">
        <v>120</v>
      </c>
      <c r="E36" s="1"/>
      <c r="F36" s="4"/>
      <c r="G36" s="7"/>
      <c r="H36" s="58"/>
    </row>
    <row r="37" spans="1:8" ht="15" customHeight="1" x14ac:dyDescent="0.3">
      <c r="A37" s="36"/>
      <c r="B37" s="459" t="s">
        <v>88</v>
      </c>
      <c r="C37" s="459"/>
      <c r="D37" s="459"/>
      <c r="E37" s="36"/>
      <c r="F37" s="459" t="s">
        <v>121</v>
      </c>
      <c r="G37" s="459"/>
      <c r="H37" s="459"/>
    </row>
    <row r="38" spans="1:8" ht="57.6" x14ac:dyDescent="0.3">
      <c r="A38" s="22" t="s">
        <v>122</v>
      </c>
      <c r="B38" s="48" t="s">
        <v>39</v>
      </c>
      <c r="C38" s="23" t="s">
        <v>91</v>
      </c>
      <c r="D38" s="23" t="s">
        <v>80</v>
      </c>
      <c r="E38" s="22" t="s">
        <v>122</v>
      </c>
      <c r="F38" s="48" t="s">
        <v>39</v>
      </c>
      <c r="G38" s="23" t="s">
        <v>91</v>
      </c>
      <c r="H38" s="23" t="s">
        <v>80</v>
      </c>
    </row>
    <row r="39" spans="1:8" ht="28.8" x14ac:dyDescent="0.3">
      <c r="A39" s="17" t="s">
        <v>123</v>
      </c>
      <c r="B39" s="23" t="e">
        <f>#REF!</f>
        <v>#REF!</v>
      </c>
      <c r="C39" s="23" t="e">
        <f>#REF!</f>
        <v>#REF!</v>
      </c>
      <c r="D39" s="26" t="e">
        <f>#REF!</f>
        <v>#REF!</v>
      </c>
      <c r="E39" s="17" t="s">
        <v>123</v>
      </c>
      <c r="F39" s="23">
        <v>22000</v>
      </c>
      <c r="G39" s="23">
        <v>22000</v>
      </c>
      <c r="H39" s="26" t="e">
        <f>#REF!</f>
        <v>#REF!</v>
      </c>
    </row>
    <row r="40" spans="1:8" ht="86.4" x14ac:dyDescent="0.3">
      <c r="A40" s="16" t="s">
        <v>124</v>
      </c>
      <c r="B40" s="45" t="e">
        <f>SUM(B39:B39)</f>
        <v>#REF!</v>
      </c>
      <c r="C40" s="45" t="e">
        <f>SUM(C39:C39)</f>
        <v>#REF!</v>
      </c>
      <c r="D40" s="45" t="e">
        <f>SUM(D39:D39)</f>
        <v>#REF!</v>
      </c>
      <c r="E40" s="16" t="s">
        <v>124</v>
      </c>
      <c r="F40" s="45">
        <f>SUM(F39:F39)</f>
        <v>22000</v>
      </c>
      <c r="G40" s="45">
        <f>SUM(G39:G39)</f>
        <v>22000</v>
      </c>
      <c r="H40" s="45" t="e">
        <f>SUM(H39:H39)</f>
        <v>#REF!</v>
      </c>
    </row>
  </sheetData>
  <mergeCells count="11">
    <mergeCell ref="B21:D21"/>
    <mergeCell ref="F21:H21"/>
    <mergeCell ref="B28:D28"/>
    <mergeCell ref="F28:H28"/>
    <mergeCell ref="B37:D37"/>
    <mergeCell ref="F37:H37"/>
    <mergeCell ref="A1:C1"/>
    <mergeCell ref="B2:F2"/>
    <mergeCell ref="B7:D7"/>
    <mergeCell ref="F7:H7"/>
    <mergeCell ref="I18:J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684"/>
  <sheetViews>
    <sheetView topLeftCell="A7" workbookViewId="0">
      <selection activeCell="B29" sqref="B29"/>
    </sheetView>
  </sheetViews>
  <sheetFormatPr baseColWidth="10" defaultColWidth="9.109375" defaultRowHeight="14.4" x14ac:dyDescent="0.3"/>
  <cols>
    <col min="1" max="1" width="27.33203125" style="265" customWidth="1"/>
    <col min="2" max="3" width="17" style="267" customWidth="1"/>
    <col min="4" max="4" width="25" style="267" customWidth="1"/>
    <col min="5" max="5" width="16.44140625" style="265" customWidth="1"/>
    <col min="6" max="6" width="15" style="265" customWidth="1"/>
    <col min="7" max="7" width="13.109375" style="265" customWidth="1"/>
    <col min="8" max="8" width="13.44140625" style="265" customWidth="1"/>
    <col min="9" max="9" width="8.6640625" style="265" customWidth="1"/>
    <col min="10" max="16384" width="9.109375" style="265"/>
  </cols>
  <sheetData>
    <row r="1" spans="1:7" x14ac:dyDescent="0.3">
      <c r="A1" s="264" t="s">
        <v>279</v>
      </c>
      <c r="B1" s="265"/>
      <c r="C1" s="265"/>
      <c r="D1" s="265"/>
    </row>
    <row r="2" spans="1:7" x14ac:dyDescent="0.3">
      <c r="A2" s="266"/>
      <c r="B2" s="266"/>
      <c r="C2" s="266"/>
      <c r="D2" s="266"/>
    </row>
    <row r="3" spans="1:7" x14ac:dyDescent="0.3">
      <c r="A3" s="460" t="s">
        <v>40</v>
      </c>
      <c r="B3" s="276" t="s">
        <v>125</v>
      </c>
      <c r="C3" s="296" t="s">
        <v>125</v>
      </c>
      <c r="D3" s="276" t="s">
        <v>125</v>
      </c>
      <c r="E3" s="302"/>
      <c r="F3" s="266"/>
      <c r="G3" s="266"/>
    </row>
    <row r="4" spans="1:7" x14ac:dyDescent="0.3">
      <c r="A4" s="460"/>
      <c r="B4" s="276">
        <v>2023</v>
      </c>
      <c r="C4" s="296">
        <v>2023</v>
      </c>
      <c r="D4" s="276">
        <v>2023</v>
      </c>
      <c r="E4" s="302"/>
      <c r="F4" s="266"/>
      <c r="G4" s="266"/>
    </row>
    <row r="5" spans="1:7" x14ac:dyDescent="0.3">
      <c r="A5" s="460"/>
      <c r="B5" s="276"/>
      <c r="C5" s="296"/>
      <c r="D5" s="276"/>
      <c r="E5" s="302"/>
      <c r="F5" s="266"/>
      <c r="G5" s="266"/>
    </row>
    <row r="6" spans="1:7" ht="63" customHeight="1" x14ac:dyDescent="0.3">
      <c r="A6" s="460"/>
      <c r="B6" s="276" t="s">
        <v>286</v>
      </c>
      <c r="C6" s="296" t="s">
        <v>127</v>
      </c>
      <c r="D6" s="276" t="s">
        <v>292</v>
      </c>
      <c r="E6" s="302"/>
      <c r="F6" s="266"/>
      <c r="G6" s="266"/>
    </row>
    <row r="7" spans="1:7" x14ac:dyDescent="0.3">
      <c r="A7" s="277" t="s">
        <v>49</v>
      </c>
      <c r="B7" s="291">
        <f>($B$33-$B$28)*('ANNEXE 1 Grille'!C5/'ANNEXE 1 Grille'!C$49)</f>
        <v>24791.582562093783</v>
      </c>
      <c r="C7" s="291"/>
      <c r="D7" s="291">
        <f t="shared" ref="D7:D30" si="0">B7+C7</f>
        <v>24791.582562093783</v>
      </c>
      <c r="E7" s="302"/>
      <c r="F7" s="266"/>
      <c r="G7" s="266"/>
    </row>
    <row r="8" spans="1:7" x14ac:dyDescent="0.3">
      <c r="A8" s="278" t="s">
        <v>50</v>
      </c>
      <c r="B8" s="292">
        <v>0</v>
      </c>
      <c r="C8" s="292"/>
      <c r="D8" s="292">
        <f t="shared" si="0"/>
        <v>0</v>
      </c>
      <c r="E8" s="302"/>
      <c r="F8" s="266"/>
      <c r="G8" s="266"/>
    </row>
    <row r="9" spans="1:7" x14ac:dyDescent="0.3">
      <c r="A9" s="277" t="s">
        <v>51</v>
      </c>
      <c r="B9" s="291">
        <f>($B$33-$B$28)*('ANNEXE 1 Grille'!C7/'ANNEXE 1 Grille'!C$49)</f>
        <v>15622.919424774429</v>
      </c>
      <c r="C9" s="291"/>
      <c r="D9" s="291">
        <f t="shared" si="0"/>
        <v>15622.919424774429</v>
      </c>
      <c r="E9" s="302"/>
      <c r="F9" s="266"/>
      <c r="G9" s="266"/>
    </row>
    <row r="10" spans="1:7" x14ac:dyDescent="0.3">
      <c r="A10" s="268" t="s">
        <v>52</v>
      </c>
      <c r="B10" s="291">
        <f>($B$33-$B$28)*('ANNEXE 1 Grille'!C8/'ANNEXE 1 Grille'!C$49)</f>
        <v>8022.5802451544359</v>
      </c>
      <c r="C10" s="291"/>
      <c r="D10" s="291">
        <f t="shared" si="0"/>
        <v>8022.5802451544359</v>
      </c>
      <c r="E10" s="302"/>
      <c r="F10" s="266"/>
      <c r="G10" s="266"/>
    </row>
    <row r="11" spans="1:7" x14ac:dyDescent="0.3">
      <c r="A11" s="277" t="s">
        <v>53</v>
      </c>
      <c r="B11" s="291">
        <f>($B$33-$B$28)*('ANNEXE 1 Grille'!C9/'ANNEXE 1 Grille'!C$49)</f>
        <v>85232.375085738488</v>
      </c>
      <c r="C11" s="291">
        <f>(3440+930)*B37</f>
        <v>4473.0807719799859</v>
      </c>
      <c r="D11" s="291">
        <f t="shared" si="0"/>
        <v>89705.45585771848</v>
      </c>
      <c r="E11" s="310"/>
      <c r="F11" s="266"/>
      <c r="G11" s="266"/>
    </row>
    <row r="12" spans="1:7" x14ac:dyDescent="0.3">
      <c r="A12" s="277" t="s">
        <v>54</v>
      </c>
      <c r="B12" s="291">
        <f>($B$33-$B$28)*('ANNEXE 1 Grille'!C10/'ANNEXE 1 Grille'!C$49)</f>
        <v>50427.647255256452</v>
      </c>
      <c r="C12" s="291"/>
      <c r="D12" s="291">
        <f t="shared" si="0"/>
        <v>50427.647255256452</v>
      </c>
      <c r="E12" s="302"/>
      <c r="F12" s="266"/>
      <c r="G12" s="266"/>
    </row>
    <row r="13" spans="1:7" x14ac:dyDescent="0.3">
      <c r="A13" s="277" t="s">
        <v>55</v>
      </c>
      <c r="B13" s="291">
        <f>($B$33-$B$28)*('ANNEXE 1 Grille'!C11/'ANNEXE 1 Grille'!C$49)</f>
        <v>2473.126240987458</v>
      </c>
      <c r="C13" s="291"/>
      <c r="D13" s="291">
        <f t="shared" si="0"/>
        <v>2473.126240987458</v>
      </c>
      <c r="E13" s="302"/>
      <c r="F13" s="266"/>
      <c r="G13" s="266"/>
    </row>
    <row r="14" spans="1:7" x14ac:dyDescent="0.3">
      <c r="A14" s="278" t="s">
        <v>56</v>
      </c>
      <c r="B14" s="292">
        <v>0</v>
      </c>
      <c r="C14" s="292"/>
      <c r="D14" s="292">
        <f t="shared" si="0"/>
        <v>0</v>
      </c>
      <c r="E14" s="302"/>
      <c r="F14" s="266"/>
      <c r="G14" s="266"/>
    </row>
    <row r="15" spans="1:7" x14ac:dyDescent="0.3">
      <c r="A15" s="278" t="s">
        <v>57</v>
      </c>
      <c r="B15" s="292">
        <v>0</v>
      </c>
      <c r="C15" s="292"/>
      <c r="D15" s="292">
        <f t="shared" si="0"/>
        <v>0</v>
      </c>
      <c r="E15" s="302"/>
      <c r="F15" s="266"/>
      <c r="G15" s="266"/>
    </row>
    <row r="16" spans="1:7" x14ac:dyDescent="0.3">
      <c r="A16" s="277" t="s">
        <v>58</v>
      </c>
      <c r="B16" s="291">
        <f>($B$33-$B$28)*('ANNEXE 1 Grille'!C14/'ANNEXE 1 Grille'!C$49)</f>
        <v>5127.2129386325341</v>
      </c>
      <c r="C16" s="291"/>
      <c r="D16" s="291">
        <f t="shared" si="0"/>
        <v>5127.2129386325341</v>
      </c>
      <c r="E16" s="302"/>
      <c r="F16" s="266"/>
      <c r="G16" s="266"/>
    </row>
    <row r="17" spans="1:7" x14ac:dyDescent="0.3">
      <c r="A17" s="277" t="s">
        <v>59</v>
      </c>
      <c r="B17" s="291">
        <f>($B$33-$B$28)*('ANNEXE 1 Grille'!C15/'ANNEXE 1 Grille'!C$49)</f>
        <v>12486.271509375701</v>
      </c>
      <c r="C17" s="291"/>
      <c r="D17" s="291">
        <f t="shared" si="0"/>
        <v>12486.271509375701</v>
      </c>
      <c r="E17" s="302"/>
      <c r="F17" s="266"/>
      <c r="G17" s="266"/>
    </row>
    <row r="18" spans="1:7" x14ac:dyDescent="0.3">
      <c r="A18" s="277" t="s">
        <v>60</v>
      </c>
      <c r="B18" s="291">
        <f>($B$33-$B$28)*('ANNEXE 1 Grille'!C16/'ANNEXE 1 Grille'!C$49)</f>
        <v>1749.2844143569823</v>
      </c>
      <c r="C18" s="291"/>
      <c r="D18" s="291">
        <f t="shared" si="0"/>
        <v>1749.2844143569823</v>
      </c>
      <c r="E18" s="302"/>
      <c r="F18" s="266"/>
      <c r="G18" s="266"/>
    </row>
    <row r="19" spans="1:7" x14ac:dyDescent="0.3">
      <c r="A19" s="277" t="s">
        <v>61</v>
      </c>
      <c r="B19" s="291">
        <f>($B$33-$B$28)*('ANNEXE 1 Grille'!C17/'ANNEXE 1 Grille'!C$49)</f>
        <v>38604.897420292022</v>
      </c>
      <c r="C19" s="291">
        <f>2*379*B37</f>
        <v>775.87991422444611</v>
      </c>
      <c r="D19" s="291">
        <f t="shared" si="0"/>
        <v>39380.777334516468</v>
      </c>
      <c r="E19" s="302"/>
      <c r="F19" s="266"/>
      <c r="G19" s="266"/>
    </row>
    <row r="20" spans="1:7" x14ac:dyDescent="0.3">
      <c r="A20" s="277" t="s">
        <v>62</v>
      </c>
      <c r="B20" s="291">
        <f>($B$33-$B$28)*('ANNEXE 1 Grille'!C18/'ANNEXE 1 Grille'!C$49)</f>
        <v>56339.022172738667</v>
      </c>
      <c r="C20" s="291">
        <f>26*379*B37</f>
        <v>10086.438884917799</v>
      </c>
      <c r="D20" s="291">
        <f t="shared" si="0"/>
        <v>66425.461057656474</v>
      </c>
      <c r="E20" s="302"/>
      <c r="F20" s="266"/>
      <c r="G20" s="266"/>
    </row>
    <row r="21" spans="1:7" x14ac:dyDescent="0.3">
      <c r="A21" s="278" t="s">
        <v>63</v>
      </c>
      <c r="B21" s="292">
        <v>0</v>
      </c>
      <c r="C21" s="292"/>
      <c r="D21" s="292">
        <f t="shared" si="0"/>
        <v>0</v>
      </c>
      <c r="E21" s="302"/>
      <c r="F21" s="266"/>
      <c r="G21" s="266"/>
    </row>
    <row r="22" spans="1:7" x14ac:dyDescent="0.3">
      <c r="A22" s="277" t="s">
        <v>64</v>
      </c>
      <c r="B22" s="291">
        <f>($B$33-$B$28)*('ANNEXE 1 Grille'!C20/'ANNEXE 1 Grille'!C$49)</f>
        <v>26239.266215354732</v>
      </c>
      <c r="C22" s="291"/>
      <c r="D22" s="291">
        <f t="shared" si="0"/>
        <v>26239.266215354732</v>
      </c>
      <c r="E22" s="302"/>
      <c r="F22" s="266"/>
      <c r="G22" s="266"/>
    </row>
    <row r="23" spans="1:7" x14ac:dyDescent="0.3">
      <c r="A23" s="277" t="s">
        <v>65</v>
      </c>
      <c r="B23" s="291">
        <f>($B$33-$B$28)*('ANNEXE 1 Grille'!C21/'ANNEXE 1 Grille'!C$49)</f>
        <v>10013.145268388243</v>
      </c>
      <c r="C23" s="291">
        <f>930*B37</f>
        <v>951.93709792709092</v>
      </c>
      <c r="D23" s="291">
        <f t="shared" si="0"/>
        <v>10965.082366315335</v>
      </c>
      <c r="E23" s="302"/>
      <c r="F23" s="266"/>
      <c r="G23" s="266"/>
    </row>
    <row r="24" spans="1:7" x14ac:dyDescent="0.3">
      <c r="A24" s="277" t="s">
        <v>66</v>
      </c>
      <c r="B24" s="291">
        <f>($B$33-$B$28)*('ANNEXE 1 Grille'!C22/'ANNEXE 1 Grille'!C$49)</f>
        <v>2895.3673065219014</v>
      </c>
      <c r="C24" s="291"/>
      <c r="D24" s="291">
        <f t="shared" si="0"/>
        <v>2895.3673065219014</v>
      </c>
      <c r="E24" s="302"/>
      <c r="F24" s="266"/>
      <c r="G24" s="266"/>
    </row>
    <row r="25" spans="1:7" x14ac:dyDescent="0.3">
      <c r="A25" s="277" t="s">
        <v>67</v>
      </c>
      <c r="B25" s="291">
        <f>($B$33-$B$28)*('ANNEXE 1 Grille'!C23/'ANNEXE 1 Grille'!C$49)</f>
        <v>18518.286731296332</v>
      </c>
      <c r="C25" s="291"/>
      <c r="D25" s="291">
        <f t="shared" si="0"/>
        <v>18518.286731296332</v>
      </c>
      <c r="E25" s="302"/>
      <c r="F25" s="266"/>
      <c r="G25" s="266"/>
    </row>
    <row r="26" spans="1:7" x14ac:dyDescent="0.3">
      <c r="A26" s="277" t="s">
        <v>68</v>
      </c>
      <c r="B26" s="291">
        <f>($B$33-$B$28)*('ANNEXE 1 Grille'!C24/'ANNEXE 1 Grille'!C$49)</f>
        <v>37217.53391925028</v>
      </c>
      <c r="C26" s="291"/>
      <c r="D26" s="291">
        <f t="shared" si="0"/>
        <v>37217.53391925028</v>
      </c>
      <c r="E26" s="302"/>
      <c r="F26" s="266"/>
      <c r="G26" s="266"/>
    </row>
    <row r="27" spans="1:7" x14ac:dyDescent="0.3">
      <c r="A27" s="277" t="s">
        <v>69</v>
      </c>
      <c r="B27" s="291">
        <f>($B$33-$B$28)*('ANNEXE 1 Grille'!C25/'ANNEXE 1 Grille'!C$49)</f>
        <v>46024.276143254399</v>
      </c>
      <c r="C27" s="291"/>
      <c r="D27" s="291">
        <f t="shared" si="0"/>
        <v>46024.276143254399</v>
      </c>
      <c r="E27" s="302"/>
      <c r="F27" s="266"/>
      <c r="G27" s="266"/>
    </row>
    <row r="28" spans="1:7" x14ac:dyDescent="0.3">
      <c r="A28" s="281" t="s">
        <v>129</v>
      </c>
      <c r="B28" s="298">
        <f>B33*B39</f>
        <v>139510.98784846321</v>
      </c>
      <c r="C28" s="298">
        <v>0</v>
      </c>
      <c r="D28" s="298">
        <f t="shared" si="0"/>
        <v>139510.98784846321</v>
      </c>
      <c r="E28" s="302"/>
      <c r="F28" s="266"/>
      <c r="G28" s="266"/>
    </row>
    <row r="29" spans="1:7" x14ac:dyDescent="0.3">
      <c r="A29" s="279" t="s">
        <v>72</v>
      </c>
      <c r="B29" s="293">
        <f>SUM(B7:B28)</f>
        <v>581295.78270193015</v>
      </c>
      <c r="C29" s="293">
        <f t="shared" ref="C29" si="1">SUM(C7:C28)</f>
        <v>16287.336669049322</v>
      </c>
      <c r="D29" s="298">
        <f t="shared" si="0"/>
        <v>597583.11937097949</v>
      </c>
      <c r="E29" s="302"/>
      <c r="F29" s="266"/>
      <c r="G29" s="266"/>
    </row>
    <row r="30" spans="1:7" ht="28.8" x14ac:dyDescent="0.3">
      <c r="A30" s="299" t="s">
        <v>130</v>
      </c>
      <c r="B30" s="300">
        <f>B29-B28</f>
        <v>441784.79485346691</v>
      </c>
      <c r="C30" s="300">
        <f t="shared" ref="C30" si="2">C29-C28</f>
        <v>16287.336669049322</v>
      </c>
      <c r="D30" s="295">
        <f t="shared" si="0"/>
        <v>458072.13152251625</v>
      </c>
      <c r="E30" s="302"/>
      <c r="F30" s="266"/>
      <c r="G30" s="266"/>
    </row>
    <row r="31" spans="1:7" x14ac:dyDescent="0.3">
      <c r="A31" s="280"/>
      <c r="B31" s="280"/>
      <c r="C31" s="270"/>
      <c r="D31" s="270"/>
      <c r="E31" s="302"/>
      <c r="F31" s="266"/>
      <c r="G31" s="266"/>
    </row>
    <row r="32" spans="1:7" x14ac:dyDescent="0.3">
      <c r="A32" s="281" t="s">
        <v>125</v>
      </c>
      <c r="B32" s="276" t="s">
        <v>39</v>
      </c>
      <c r="C32" s="297" t="s">
        <v>283</v>
      </c>
      <c r="D32" s="266"/>
      <c r="E32" s="302"/>
      <c r="F32" s="266"/>
      <c r="G32" s="266"/>
    </row>
    <row r="33" spans="1:7" ht="15" customHeight="1" x14ac:dyDescent="0.3">
      <c r="A33" s="282" t="s">
        <v>201</v>
      </c>
      <c r="B33" s="283">
        <f>B35*B37</f>
        <v>581295.78270193003</v>
      </c>
      <c r="C33" s="297" t="b">
        <f>B33=B29</f>
        <v>1</v>
      </c>
      <c r="D33" s="266"/>
      <c r="E33" s="302"/>
      <c r="F33" s="266"/>
      <c r="G33" s="266"/>
    </row>
    <row r="34" spans="1:7" x14ac:dyDescent="0.3">
      <c r="A34" s="282" t="s">
        <v>202</v>
      </c>
      <c r="B34" s="283">
        <f>B33*1.2</f>
        <v>697554.93924231606</v>
      </c>
      <c r="C34" s="297"/>
      <c r="D34" s="266"/>
      <c r="E34" s="302"/>
      <c r="F34" s="266"/>
      <c r="G34" s="266"/>
    </row>
    <row r="35" spans="1:7" ht="15" customHeight="1" x14ac:dyDescent="0.3">
      <c r="A35" s="282" t="s">
        <v>142</v>
      </c>
      <c r="B35" s="283">
        <v>567900</v>
      </c>
      <c r="C35" s="297"/>
      <c r="D35" s="266"/>
      <c r="E35" s="302"/>
      <c r="F35" s="266"/>
      <c r="G35" s="266"/>
    </row>
    <row r="36" spans="1:7" x14ac:dyDescent="0.3">
      <c r="A36" s="282" t="s">
        <v>143</v>
      </c>
      <c r="B36" s="283">
        <f>B35*1.2</f>
        <v>681480</v>
      </c>
      <c r="C36" s="297"/>
      <c r="D36" s="266"/>
    </row>
    <row r="37" spans="1:7" ht="15" customHeight="1" x14ac:dyDescent="0.3">
      <c r="A37" s="282" t="s">
        <v>285</v>
      </c>
      <c r="B37" s="271">
        <f>'Indice Syntec'!C4</f>
        <v>1.0235882773409579</v>
      </c>
      <c r="C37" s="297" t="s">
        <v>268</v>
      </c>
      <c r="D37" s="266"/>
    </row>
    <row r="38" spans="1:7" x14ac:dyDescent="0.3">
      <c r="A38" s="266"/>
      <c r="B38" s="265"/>
      <c r="C38" s="266"/>
      <c r="D38" s="266"/>
    </row>
    <row r="39" spans="1:7" x14ac:dyDescent="0.3">
      <c r="A39" s="282" t="s">
        <v>269</v>
      </c>
      <c r="B39" s="274">
        <f>24%</f>
        <v>0.24</v>
      </c>
      <c r="C39" s="266"/>
      <c r="D39" s="266"/>
    </row>
    <row r="40" spans="1:7" x14ac:dyDescent="0.3">
      <c r="A40" s="282" t="s">
        <v>270</v>
      </c>
      <c r="B40" s="274">
        <f>1-B39</f>
        <v>0.76</v>
      </c>
      <c r="C40" s="266"/>
      <c r="D40" s="266"/>
    </row>
    <row r="41" spans="1:7" x14ac:dyDescent="0.3">
      <c r="A41" s="273"/>
      <c r="B41" s="265"/>
      <c r="C41" s="265"/>
      <c r="D41" s="265"/>
    </row>
    <row r="42" spans="1:7" x14ac:dyDescent="0.3">
      <c r="B42" s="265"/>
      <c r="C42" s="265"/>
      <c r="D42" s="265"/>
    </row>
    <row r="43" spans="1:7" x14ac:dyDescent="0.3">
      <c r="B43" s="265"/>
      <c r="C43" s="265"/>
      <c r="D43" s="265"/>
    </row>
    <row r="44" spans="1:7" x14ac:dyDescent="0.3">
      <c r="B44" s="265"/>
      <c r="C44" s="265"/>
      <c r="D44" s="265"/>
    </row>
    <row r="45" spans="1:7" x14ac:dyDescent="0.3">
      <c r="B45" s="265"/>
      <c r="C45" s="265"/>
      <c r="D45" s="265"/>
    </row>
    <row r="46" spans="1:7" x14ac:dyDescent="0.3">
      <c r="B46" s="265"/>
      <c r="C46" s="265"/>
      <c r="D46" s="265"/>
    </row>
    <row r="47" spans="1:7" x14ac:dyDescent="0.3">
      <c r="B47" s="265"/>
      <c r="C47" s="265"/>
      <c r="D47" s="265"/>
    </row>
    <row r="48" spans="1:7" x14ac:dyDescent="0.3">
      <c r="B48" s="265"/>
      <c r="C48" s="265"/>
      <c r="D48" s="265"/>
    </row>
    <row r="49" s="265" customFormat="1" x14ac:dyDescent="0.3"/>
    <row r="50" s="265" customFormat="1" x14ac:dyDescent="0.3"/>
    <row r="51" s="265" customFormat="1" x14ac:dyDescent="0.3"/>
    <row r="52" s="265" customFormat="1" x14ac:dyDescent="0.3"/>
    <row r="53" s="265" customFormat="1" x14ac:dyDescent="0.3"/>
    <row r="54" s="265" customFormat="1" x14ac:dyDescent="0.3"/>
    <row r="55" s="265" customFormat="1" x14ac:dyDescent="0.3"/>
    <row r="56" s="265" customFormat="1" x14ac:dyDescent="0.3"/>
    <row r="57" s="265" customFormat="1" x14ac:dyDescent="0.3"/>
    <row r="58" s="265" customFormat="1" x14ac:dyDescent="0.3"/>
    <row r="59" s="265" customFormat="1" x14ac:dyDescent="0.3"/>
    <row r="60" s="265" customFormat="1" x14ac:dyDescent="0.3"/>
    <row r="61" s="265" customFormat="1" x14ac:dyDescent="0.3"/>
    <row r="62" s="265" customFormat="1" x14ac:dyDescent="0.3"/>
    <row r="63" s="265" customFormat="1" x14ac:dyDescent="0.3"/>
    <row r="64" s="265" customFormat="1" x14ac:dyDescent="0.3"/>
    <row r="65" s="265" customFormat="1" x14ac:dyDescent="0.3"/>
    <row r="66" s="265" customFormat="1" x14ac:dyDescent="0.3"/>
    <row r="67" s="265" customFormat="1" x14ac:dyDescent="0.3"/>
    <row r="68" s="265" customFormat="1" x14ac:dyDescent="0.3"/>
    <row r="69" s="265" customFormat="1" x14ac:dyDescent="0.3"/>
    <row r="70" s="265" customFormat="1" x14ac:dyDescent="0.3"/>
    <row r="71" s="265" customFormat="1" x14ac:dyDescent="0.3"/>
    <row r="72" s="265" customFormat="1" x14ac:dyDescent="0.3"/>
    <row r="73" s="265" customFormat="1" x14ac:dyDescent="0.3"/>
    <row r="74" s="265" customFormat="1" x14ac:dyDescent="0.3"/>
    <row r="75" s="265" customFormat="1" x14ac:dyDescent="0.3"/>
    <row r="76" s="265" customFormat="1" x14ac:dyDescent="0.3"/>
    <row r="77" s="265" customFormat="1" x14ac:dyDescent="0.3"/>
    <row r="78" s="265" customFormat="1" x14ac:dyDescent="0.3"/>
    <row r="79" s="265" customFormat="1" x14ac:dyDescent="0.3"/>
    <row r="80" s="265" customFormat="1" x14ac:dyDescent="0.3"/>
    <row r="81" s="265" customFormat="1" x14ac:dyDescent="0.3"/>
    <row r="82" s="265" customFormat="1" x14ac:dyDescent="0.3"/>
    <row r="83" s="265" customFormat="1" x14ac:dyDescent="0.3"/>
    <row r="84" s="265" customFormat="1" x14ac:dyDescent="0.3"/>
    <row r="85" s="265" customFormat="1" x14ac:dyDescent="0.3"/>
    <row r="86" s="265" customFormat="1" x14ac:dyDescent="0.3"/>
    <row r="87" s="265" customFormat="1" x14ac:dyDescent="0.3"/>
    <row r="88" s="265" customFormat="1" x14ac:dyDescent="0.3"/>
    <row r="89" s="265" customFormat="1" x14ac:dyDescent="0.3"/>
    <row r="90" s="265" customFormat="1" x14ac:dyDescent="0.3"/>
    <row r="91" s="265" customFormat="1" x14ac:dyDescent="0.3"/>
    <row r="92" s="265" customFormat="1" x14ac:dyDescent="0.3"/>
    <row r="93" s="265" customFormat="1" x14ac:dyDescent="0.3"/>
    <row r="94" s="265" customFormat="1" x14ac:dyDescent="0.3"/>
    <row r="95" s="265" customFormat="1" x14ac:dyDescent="0.3"/>
    <row r="96" s="265" customFormat="1" x14ac:dyDescent="0.3"/>
    <row r="97" s="265" customFormat="1" x14ac:dyDescent="0.3"/>
    <row r="98" s="265" customFormat="1" x14ac:dyDescent="0.3"/>
    <row r="99" s="265" customFormat="1" x14ac:dyDescent="0.3"/>
    <row r="100" s="265" customFormat="1" x14ac:dyDescent="0.3"/>
    <row r="101" s="265" customFormat="1" x14ac:dyDescent="0.3"/>
    <row r="102" s="265" customFormat="1" x14ac:dyDescent="0.3"/>
    <row r="103" s="265" customFormat="1" x14ac:dyDescent="0.3"/>
    <row r="104" s="265" customFormat="1" x14ac:dyDescent="0.3"/>
    <row r="105" s="265" customFormat="1" x14ac:dyDescent="0.3"/>
    <row r="106" s="265" customFormat="1" x14ac:dyDescent="0.3"/>
    <row r="107" s="265" customFormat="1" x14ac:dyDescent="0.3"/>
    <row r="108" s="265" customFormat="1" x14ac:dyDescent="0.3"/>
    <row r="109" s="265" customFormat="1" x14ac:dyDescent="0.3"/>
    <row r="110" s="265" customFormat="1" x14ac:dyDescent="0.3"/>
    <row r="111" s="265" customFormat="1" x14ac:dyDescent="0.3"/>
    <row r="112" s="265" customFormat="1" x14ac:dyDescent="0.3"/>
    <row r="113" s="265" customFormat="1" x14ac:dyDescent="0.3"/>
    <row r="114" s="265" customFormat="1" x14ac:dyDescent="0.3"/>
    <row r="115" s="265" customFormat="1" x14ac:dyDescent="0.3"/>
    <row r="116" s="265" customFormat="1" x14ac:dyDescent="0.3"/>
    <row r="117" s="265" customFormat="1" x14ac:dyDescent="0.3"/>
    <row r="118" s="265" customFormat="1" x14ac:dyDescent="0.3"/>
    <row r="119" s="265" customFormat="1" x14ac:dyDescent="0.3"/>
    <row r="120" s="265" customFormat="1" x14ac:dyDescent="0.3"/>
    <row r="121" s="265" customFormat="1" x14ac:dyDescent="0.3"/>
    <row r="122" s="265" customFormat="1" x14ac:dyDescent="0.3"/>
    <row r="123" s="265" customFormat="1" x14ac:dyDescent="0.3"/>
    <row r="124" s="265" customFormat="1" x14ac:dyDescent="0.3"/>
    <row r="125" s="265" customFormat="1" x14ac:dyDescent="0.3"/>
    <row r="126" s="265" customFormat="1" x14ac:dyDescent="0.3"/>
    <row r="127" s="265" customFormat="1" x14ac:dyDescent="0.3"/>
    <row r="128" s="265" customFormat="1" x14ac:dyDescent="0.3"/>
    <row r="129" s="265" customFormat="1" x14ac:dyDescent="0.3"/>
    <row r="130" s="265" customFormat="1" x14ac:dyDescent="0.3"/>
    <row r="131" s="265" customFormat="1" x14ac:dyDescent="0.3"/>
    <row r="132" s="265" customFormat="1" x14ac:dyDescent="0.3"/>
    <row r="133" s="265" customFormat="1" x14ac:dyDescent="0.3"/>
    <row r="134" s="265" customFormat="1" x14ac:dyDescent="0.3"/>
    <row r="135" s="265" customFormat="1" x14ac:dyDescent="0.3"/>
    <row r="136" s="265" customFormat="1" x14ac:dyDescent="0.3"/>
    <row r="137" s="265" customFormat="1" x14ac:dyDescent="0.3"/>
    <row r="138" s="265" customFormat="1" x14ac:dyDescent="0.3"/>
    <row r="139" s="265" customFormat="1" x14ac:dyDescent="0.3"/>
    <row r="140" s="265" customFormat="1" x14ac:dyDescent="0.3"/>
    <row r="141" s="265" customFormat="1" x14ac:dyDescent="0.3"/>
    <row r="142" s="265" customFormat="1" x14ac:dyDescent="0.3"/>
    <row r="143" s="265" customFormat="1" x14ac:dyDescent="0.3"/>
    <row r="144" s="265" customFormat="1" x14ac:dyDescent="0.3"/>
    <row r="145" s="265" customFormat="1" x14ac:dyDescent="0.3"/>
    <row r="146" s="265" customFormat="1" x14ac:dyDescent="0.3"/>
    <row r="147" s="265" customFormat="1" x14ac:dyDescent="0.3"/>
    <row r="148" s="265" customFormat="1" x14ac:dyDescent="0.3"/>
    <row r="149" s="265" customFormat="1" x14ac:dyDescent="0.3"/>
    <row r="150" s="265" customFormat="1" x14ac:dyDescent="0.3"/>
    <row r="151" s="265" customFormat="1" x14ac:dyDescent="0.3"/>
    <row r="152" s="265" customFormat="1" x14ac:dyDescent="0.3"/>
    <row r="153" s="265" customFormat="1" x14ac:dyDescent="0.3"/>
    <row r="154" s="265" customFormat="1" x14ac:dyDescent="0.3"/>
    <row r="155" s="265" customFormat="1" x14ac:dyDescent="0.3"/>
    <row r="156" s="265" customFormat="1" x14ac:dyDescent="0.3"/>
    <row r="157" s="265" customFormat="1" x14ac:dyDescent="0.3"/>
    <row r="158" s="265" customFormat="1" x14ac:dyDescent="0.3"/>
    <row r="159" s="265" customFormat="1" x14ac:dyDescent="0.3"/>
    <row r="160" s="265" customFormat="1" x14ac:dyDescent="0.3"/>
    <row r="161" s="265" customFormat="1" x14ac:dyDescent="0.3"/>
    <row r="162" s="265" customFormat="1" x14ac:dyDescent="0.3"/>
    <row r="163" s="265" customFormat="1" x14ac:dyDescent="0.3"/>
    <row r="164" s="265" customFormat="1" x14ac:dyDescent="0.3"/>
    <row r="165" s="265" customFormat="1" x14ac:dyDescent="0.3"/>
    <row r="166" s="265" customFormat="1" x14ac:dyDescent="0.3"/>
    <row r="167" s="265" customFormat="1" x14ac:dyDescent="0.3"/>
    <row r="168" s="265" customFormat="1" x14ac:dyDescent="0.3"/>
    <row r="169" s="265" customFormat="1" x14ac:dyDescent="0.3"/>
    <row r="170" s="265" customFormat="1" x14ac:dyDescent="0.3"/>
    <row r="171" s="265" customFormat="1" x14ac:dyDescent="0.3"/>
    <row r="172" s="265" customFormat="1" x14ac:dyDescent="0.3"/>
    <row r="173" s="265" customFormat="1" x14ac:dyDescent="0.3"/>
    <row r="174" s="265" customFormat="1" x14ac:dyDescent="0.3"/>
    <row r="175" s="265" customFormat="1" x14ac:dyDescent="0.3"/>
    <row r="176" s="265" customFormat="1" x14ac:dyDescent="0.3"/>
    <row r="177" s="265" customFormat="1" x14ac:dyDescent="0.3"/>
    <row r="178" s="265" customFormat="1" x14ac:dyDescent="0.3"/>
    <row r="179" s="265" customFormat="1" x14ac:dyDescent="0.3"/>
    <row r="180" s="265" customFormat="1" x14ac:dyDescent="0.3"/>
    <row r="181" s="265" customFormat="1" x14ac:dyDescent="0.3"/>
    <row r="182" s="265" customFormat="1" x14ac:dyDescent="0.3"/>
    <row r="183" s="265" customFormat="1" x14ac:dyDescent="0.3"/>
    <row r="184" s="265" customFormat="1" x14ac:dyDescent="0.3"/>
    <row r="185" s="265" customFormat="1" x14ac:dyDescent="0.3"/>
    <row r="186" s="265" customFormat="1" x14ac:dyDescent="0.3"/>
    <row r="187" s="265" customFormat="1" x14ac:dyDescent="0.3"/>
    <row r="188" s="265" customFormat="1" x14ac:dyDescent="0.3"/>
    <row r="189" s="265" customFormat="1" x14ac:dyDescent="0.3"/>
    <row r="190" s="265" customFormat="1" x14ac:dyDescent="0.3"/>
    <row r="191" s="265" customFormat="1" x14ac:dyDescent="0.3"/>
    <row r="192" s="265" customFormat="1" x14ac:dyDescent="0.3"/>
    <row r="193" s="265" customFormat="1" x14ac:dyDescent="0.3"/>
    <row r="194" s="265" customFormat="1" x14ac:dyDescent="0.3"/>
    <row r="195" s="265" customFormat="1" x14ac:dyDescent="0.3"/>
    <row r="196" s="265" customFormat="1" x14ac:dyDescent="0.3"/>
    <row r="197" s="265" customFormat="1" x14ac:dyDescent="0.3"/>
    <row r="198" s="265" customFormat="1" x14ac:dyDescent="0.3"/>
    <row r="199" s="265" customFormat="1" x14ac:dyDescent="0.3"/>
    <row r="200" s="265" customFormat="1" x14ac:dyDescent="0.3"/>
    <row r="201" s="265" customFormat="1" x14ac:dyDescent="0.3"/>
    <row r="202" s="265" customFormat="1" x14ac:dyDescent="0.3"/>
    <row r="203" s="265" customFormat="1" x14ac:dyDescent="0.3"/>
    <row r="204" s="265" customFormat="1" x14ac:dyDescent="0.3"/>
    <row r="205" s="265" customFormat="1" x14ac:dyDescent="0.3"/>
    <row r="206" s="265" customFormat="1" x14ac:dyDescent="0.3"/>
    <row r="207" s="265" customFormat="1" x14ac:dyDescent="0.3"/>
    <row r="208" s="265" customFormat="1" x14ac:dyDescent="0.3"/>
    <row r="209" s="265" customFormat="1" x14ac:dyDescent="0.3"/>
    <row r="210" s="265" customFormat="1" x14ac:dyDescent="0.3"/>
    <row r="211" s="265" customFormat="1" x14ac:dyDescent="0.3"/>
    <row r="212" s="265" customFormat="1" x14ac:dyDescent="0.3"/>
    <row r="213" s="265" customFormat="1" x14ac:dyDescent="0.3"/>
    <row r="214" s="265" customFormat="1" x14ac:dyDescent="0.3"/>
    <row r="215" s="265" customFormat="1" x14ac:dyDescent="0.3"/>
    <row r="216" s="265" customFormat="1" x14ac:dyDescent="0.3"/>
    <row r="217" s="265" customFormat="1" x14ac:dyDescent="0.3"/>
    <row r="218" s="265" customFormat="1" x14ac:dyDescent="0.3"/>
    <row r="219" s="265" customFormat="1" x14ac:dyDescent="0.3"/>
    <row r="220" s="265" customFormat="1" x14ac:dyDescent="0.3"/>
    <row r="221" s="265" customFormat="1" x14ac:dyDescent="0.3"/>
    <row r="222" s="265" customFormat="1" x14ac:dyDescent="0.3"/>
    <row r="223" s="265" customFormat="1" x14ac:dyDescent="0.3"/>
    <row r="224" s="265" customFormat="1" x14ac:dyDescent="0.3"/>
    <row r="225" s="265" customFormat="1" x14ac:dyDescent="0.3"/>
    <row r="226" s="265" customFormat="1" x14ac:dyDescent="0.3"/>
    <row r="227" s="265" customFormat="1" x14ac:dyDescent="0.3"/>
    <row r="228" s="265" customFormat="1" x14ac:dyDescent="0.3"/>
    <row r="229" s="265" customFormat="1" x14ac:dyDescent="0.3"/>
    <row r="230" s="265" customFormat="1" x14ac:dyDescent="0.3"/>
    <row r="231" s="265" customFormat="1" x14ac:dyDescent="0.3"/>
    <row r="232" s="265" customFormat="1" x14ac:dyDescent="0.3"/>
    <row r="233" s="265" customFormat="1" x14ac:dyDescent="0.3"/>
    <row r="234" s="265" customFormat="1" x14ac:dyDescent="0.3"/>
    <row r="235" s="265" customFormat="1" x14ac:dyDescent="0.3"/>
    <row r="236" s="265" customFormat="1" x14ac:dyDescent="0.3"/>
    <row r="237" s="265" customFormat="1" x14ac:dyDescent="0.3"/>
    <row r="238" s="265" customFormat="1" x14ac:dyDescent="0.3"/>
    <row r="239" s="265" customFormat="1" x14ac:dyDescent="0.3"/>
    <row r="240" s="265" customFormat="1" x14ac:dyDescent="0.3"/>
    <row r="241" s="265" customFormat="1" x14ac:dyDescent="0.3"/>
    <row r="242" s="265" customFormat="1" x14ac:dyDescent="0.3"/>
    <row r="243" s="265" customFormat="1" x14ac:dyDescent="0.3"/>
    <row r="244" s="265" customFormat="1" x14ac:dyDescent="0.3"/>
    <row r="245" s="265" customFormat="1" x14ac:dyDescent="0.3"/>
    <row r="246" s="265" customFormat="1" x14ac:dyDescent="0.3"/>
    <row r="247" s="265" customFormat="1" x14ac:dyDescent="0.3"/>
    <row r="248" s="265" customFormat="1" x14ac:dyDescent="0.3"/>
    <row r="249" s="265" customFormat="1" x14ac:dyDescent="0.3"/>
    <row r="250" s="265" customFormat="1" x14ac:dyDescent="0.3"/>
    <row r="251" s="265" customFormat="1" x14ac:dyDescent="0.3"/>
    <row r="252" s="265" customFormat="1" x14ac:dyDescent="0.3"/>
    <row r="253" s="265" customFormat="1" x14ac:dyDescent="0.3"/>
    <row r="254" s="265" customFormat="1" x14ac:dyDescent="0.3"/>
    <row r="255" s="265" customFormat="1" x14ac:dyDescent="0.3"/>
    <row r="256" s="265" customFormat="1" x14ac:dyDescent="0.3"/>
    <row r="257" s="265" customFormat="1" x14ac:dyDescent="0.3"/>
    <row r="258" s="265" customFormat="1" x14ac:dyDescent="0.3"/>
    <row r="259" s="265" customFormat="1" x14ac:dyDescent="0.3"/>
    <row r="260" s="265" customFormat="1" x14ac:dyDescent="0.3"/>
    <row r="261" s="265" customFormat="1" x14ac:dyDescent="0.3"/>
    <row r="262" s="265" customFormat="1" x14ac:dyDescent="0.3"/>
    <row r="263" s="265" customFormat="1" x14ac:dyDescent="0.3"/>
    <row r="264" s="265" customFormat="1" x14ac:dyDescent="0.3"/>
    <row r="265" s="265" customFormat="1" x14ac:dyDescent="0.3"/>
    <row r="266" s="265" customFormat="1" x14ac:dyDescent="0.3"/>
    <row r="267" s="265" customFormat="1" x14ac:dyDescent="0.3"/>
    <row r="268" s="265" customFormat="1" x14ac:dyDescent="0.3"/>
    <row r="269" s="265" customFormat="1" x14ac:dyDescent="0.3"/>
    <row r="270" s="265" customFormat="1" x14ac:dyDescent="0.3"/>
    <row r="271" s="265" customFormat="1" x14ac:dyDescent="0.3"/>
    <row r="272" s="265" customFormat="1" x14ac:dyDescent="0.3"/>
    <row r="273" s="265" customFormat="1" x14ac:dyDescent="0.3"/>
    <row r="274" s="265" customFormat="1" x14ac:dyDescent="0.3"/>
    <row r="275" s="265" customFormat="1" x14ac:dyDescent="0.3"/>
    <row r="276" s="265" customFormat="1" x14ac:dyDescent="0.3"/>
    <row r="277" s="265" customFormat="1" x14ac:dyDescent="0.3"/>
    <row r="278" s="265" customFormat="1" x14ac:dyDescent="0.3"/>
    <row r="279" s="265" customFormat="1" x14ac:dyDescent="0.3"/>
    <row r="280" s="265" customFormat="1" x14ac:dyDescent="0.3"/>
    <row r="281" s="265" customFormat="1" x14ac:dyDescent="0.3"/>
    <row r="282" s="265" customFormat="1" x14ac:dyDescent="0.3"/>
    <row r="283" s="265" customFormat="1" x14ac:dyDescent="0.3"/>
    <row r="284" s="265" customFormat="1" x14ac:dyDescent="0.3"/>
    <row r="285" s="265" customFormat="1" x14ac:dyDescent="0.3"/>
    <row r="286" s="265" customFormat="1" x14ac:dyDescent="0.3"/>
    <row r="287" s="265" customFormat="1" x14ac:dyDescent="0.3"/>
    <row r="288" s="265" customFormat="1" x14ac:dyDescent="0.3"/>
    <row r="289" s="265" customFormat="1" x14ac:dyDescent="0.3"/>
    <row r="290" s="265" customFormat="1" x14ac:dyDescent="0.3"/>
    <row r="291" s="265" customFormat="1" x14ac:dyDescent="0.3"/>
    <row r="292" s="265" customFormat="1" x14ac:dyDescent="0.3"/>
    <row r="293" s="265" customFormat="1" x14ac:dyDescent="0.3"/>
    <row r="294" s="265" customFormat="1" x14ac:dyDescent="0.3"/>
    <row r="295" s="265" customFormat="1" x14ac:dyDescent="0.3"/>
    <row r="296" s="265" customFormat="1" x14ac:dyDescent="0.3"/>
    <row r="297" s="265" customFormat="1" x14ac:dyDescent="0.3"/>
    <row r="298" s="265" customFormat="1" x14ac:dyDescent="0.3"/>
    <row r="299" s="265" customFormat="1" x14ac:dyDescent="0.3"/>
    <row r="300" s="265" customFormat="1" x14ac:dyDescent="0.3"/>
    <row r="301" s="265" customFormat="1" x14ac:dyDescent="0.3"/>
    <row r="302" s="265" customFormat="1" x14ac:dyDescent="0.3"/>
    <row r="303" s="265" customFormat="1" x14ac:dyDescent="0.3"/>
    <row r="304" s="265" customFormat="1" x14ac:dyDescent="0.3"/>
    <row r="305" s="265" customFormat="1" x14ac:dyDescent="0.3"/>
    <row r="306" s="265" customFormat="1" x14ac:dyDescent="0.3"/>
    <row r="307" s="265" customFormat="1" x14ac:dyDescent="0.3"/>
    <row r="308" s="265" customFormat="1" x14ac:dyDescent="0.3"/>
    <row r="309" s="265" customFormat="1" x14ac:dyDescent="0.3"/>
    <row r="310" s="265" customFormat="1" x14ac:dyDescent="0.3"/>
    <row r="311" s="265" customFormat="1" x14ac:dyDescent="0.3"/>
    <row r="312" s="265" customFormat="1" x14ac:dyDescent="0.3"/>
    <row r="313" s="265" customFormat="1" x14ac:dyDescent="0.3"/>
    <row r="314" s="265" customFormat="1" x14ac:dyDescent="0.3"/>
    <row r="315" s="265" customFormat="1" x14ac:dyDescent="0.3"/>
    <row r="316" s="265" customFormat="1" x14ac:dyDescent="0.3"/>
    <row r="317" s="265" customFormat="1" x14ac:dyDescent="0.3"/>
    <row r="318" s="265" customFormat="1" x14ac:dyDescent="0.3"/>
    <row r="319" s="265" customFormat="1" x14ac:dyDescent="0.3"/>
    <row r="320" s="265" customFormat="1" x14ac:dyDescent="0.3"/>
    <row r="321" s="265" customFormat="1" x14ac:dyDescent="0.3"/>
    <row r="322" s="265" customFormat="1" x14ac:dyDescent="0.3"/>
    <row r="323" s="265" customFormat="1" x14ac:dyDescent="0.3"/>
    <row r="324" s="265" customFormat="1" x14ac:dyDescent="0.3"/>
    <row r="325" s="265" customFormat="1" x14ac:dyDescent="0.3"/>
    <row r="326" s="265" customFormat="1" x14ac:dyDescent="0.3"/>
    <row r="327" s="265" customFormat="1" x14ac:dyDescent="0.3"/>
    <row r="328" s="265" customFormat="1" x14ac:dyDescent="0.3"/>
    <row r="329" s="265" customFormat="1" x14ac:dyDescent="0.3"/>
    <row r="330" s="265" customFormat="1" x14ac:dyDescent="0.3"/>
    <row r="331" s="265" customFormat="1" x14ac:dyDescent="0.3"/>
    <row r="332" s="265" customFormat="1" x14ac:dyDescent="0.3"/>
    <row r="333" s="265" customFormat="1" x14ac:dyDescent="0.3"/>
    <row r="334" s="265" customFormat="1" x14ac:dyDescent="0.3"/>
    <row r="335" s="265" customFormat="1" x14ac:dyDescent="0.3"/>
    <row r="336" s="265" customFormat="1" x14ac:dyDescent="0.3"/>
    <row r="337" s="265" customFormat="1" x14ac:dyDescent="0.3"/>
    <row r="338" s="265" customFormat="1" x14ac:dyDescent="0.3"/>
    <row r="339" s="265" customFormat="1" x14ac:dyDescent="0.3"/>
    <row r="340" s="265" customFormat="1" x14ac:dyDescent="0.3"/>
    <row r="341" s="265" customFormat="1" x14ac:dyDescent="0.3"/>
    <row r="342" s="265" customFormat="1" x14ac:dyDescent="0.3"/>
    <row r="343" s="265" customFormat="1" x14ac:dyDescent="0.3"/>
    <row r="344" s="265" customFormat="1" x14ac:dyDescent="0.3"/>
    <row r="345" s="265" customFormat="1" x14ac:dyDescent="0.3"/>
    <row r="346" s="265" customFormat="1" x14ac:dyDescent="0.3"/>
    <row r="347" s="265" customFormat="1" x14ac:dyDescent="0.3"/>
    <row r="348" s="265" customFormat="1" x14ac:dyDescent="0.3"/>
    <row r="349" s="265" customFormat="1" x14ac:dyDescent="0.3"/>
    <row r="350" s="265" customFormat="1" x14ac:dyDescent="0.3"/>
    <row r="351" s="265" customFormat="1" x14ac:dyDescent="0.3"/>
    <row r="352" s="265" customFormat="1" x14ac:dyDescent="0.3"/>
    <row r="353" s="265" customFormat="1" x14ac:dyDescent="0.3"/>
    <row r="354" s="265" customFormat="1" x14ac:dyDescent="0.3"/>
    <row r="355" s="265" customFormat="1" x14ac:dyDescent="0.3"/>
    <row r="356" s="265" customFormat="1" x14ac:dyDescent="0.3"/>
    <row r="357" s="265" customFormat="1" x14ac:dyDescent="0.3"/>
    <row r="358" s="265" customFormat="1" x14ac:dyDescent="0.3"/>
    <row r="359" s="265" customFormat="1" x14ac:dyDescent="0.3"/>
    <row r="360" s="265" customFormat="1" x14ac:dyDescent="0.3"/>
    <row r="361" s="265" customFormat="1" x14ac:dyDescent="0.3"/>
    <row r="362" s="265" customFormat="1" x14ac:dyDescent="0.3"/>
    <row r="363" s="265" customFormat="1" x14ac:dyDescent="0.3"/>
    <row r="364" s="265" customFormat="1" x14ac:dyDescent="0.3"/>
    <row r="365" s="265" customFormat="1" x14ac:dyDescent="0.3"/>
    <row r="366" s="265" customFormat="1" x14ac:dyDescent="0.3"/>
    <row r="367" s="265" customFormat="1" x14ac:dyDescent="0.3"/>
    <row r="368" s="265" customFormat="1" x14ac:dyDescent="0.3"/>
    <row r="369" s="265" customFormat="1" x14ac:dyDescent="0.3"/>
    <row r="370" s="265" customFormat="1" x14ac:dyDescent="0.3"/>
    <row r="371" s="265" customFormat="1" x14ac:dyDescent="0.3"/>
    <row r="372" s="265" customFormat="1" x14ac:dyDescent="0.3"/>
    <row r="373" s="265" customFormat="1" x14ac:dyDescent="0.3"/>
    <row r="374" s="265" customFormat="1" x14ac:dyDescent="0.3"/>
    <row r="375" s="265" customFormat="1" x14ac:dyDescent="0.3"/>
    <row r="376" s="265" customFormat="1" x14ac:dyDescent="0.3"/>
    <row r="377" s="265" customFormat="1" x14ac:dyDescent="0.3"/>
    <row r="378" s="265" customFormat="1" x14ac:dyDescent="0.3"/>
    <row r="379" s="265" customFormat="1" x14ac:dyDescent="0.3"/>
    <row r="380" s="265" customFormat="1" x14ac:dyDescent="0.3"/>
    <row r="381" s="265" customFormat="1" x14ac:dyDescent="0.3"/>
    <row r="382" s="265" customFormat="1" x14ac:dyDescent="0.3"/>
    <row r="383" s="265" customFormat="1" x14ac:dyDescent="0.3"/>
    <row r="384" s="265" customFormat="1" x14ac:dyDescent="0.3"/>
    <row r="385" s="265" customFormat="1" x14ac:dyDescent="0.3"/>
    <row r="386" s="265" customFormat="1" x14ac:dyDescent="0.3"/>
    <row r="387" s="265" customFormat="1" x14ac:dyDescent="0.3"/>
    <row r="388" s="265" customFormat="1" x14ac:dyDescent="0.3"/>
    <row r="389" s="265" customFormat="1" x14ac:dyDescent="0.3"/>
    <row r="390" s="265" customFormat="1" x14ac:dyDescent="0.3"/>
    <row r="391" s="265" customFormat="1" x14ac:dyDescent="0.3"/>
    <row r="392" s="265" customFormat="1" x14ac:dyDescent="0.3"/>
    <row r="393" s="265" customFormat="1" x14ac:dyDescent="0.3"/>
    <row r="394" s="265" customFormat="1" x14ac:dyDescent="0.3"/>
    <row r="395" s="265" customFormat="1" x14ac:dyDescent="0.3"/>
    <row r="396" s="265" customFormat="1" x14ac:dyDescent="0.3"/>
    <row r="397" s="265" customFormat="1" x14ac:dyDescent="0.3"/>
    <row r="398" s="265" customFormat="1" x14ac:dyDescent="0.3"/>
    <row r="399" s="265" customFormat="1" x14ac:dyDescent="0.3"/>
    <row r="400" s="265" customFormat="1" x14ac:dyDescent="0.3"/>
    <row r="401" s="265" customFormat="1" x14ac:dyDescent="0.3"/>
    <row r="402" s="265" customFormat="1" x14ac:dyDescent="0.3"/>
    <row r="403" s="265" customFormat="1" x14ac:dyDescent="0.3"/>
    <row r="404" s="265" customFormat="1" x14ac:dyDescent="0.3"/>
    <row r="405" s="265" customFormat="1" x14ac:dyDescent="0.3"/>
    <row r="406" s="265" customFormat="1" x14ac:dyDescent="0.3"/>
    <row r="407" s="265" customFormat="1" x14ac:dyDescent="0.3"/>
    <row r="408" s="265" customFormat="1" x14ac:dyDescent="0.3"/>
    <row r="409" s="265" customFormat="1" x14ac:dyDescent="0.3"/>
    <row r="410" s="265" customFormat="1" x14ac:dyDescent="0.3"/>
    <row r="411" s="265" customFormat="1" x14ac:dyDescent="0.3"/>
    <row r="412" s="265" customFormat="1" x14ac:dyDescent="0.3"/>
    <row r="413" s="265" customFormat="1" x14ac:dyDescent="0.3"/>
    <row r="414" s="265" customFormat="1" x14ac:dyDescent="0.3"/>
    <row r="415" s="265" customFormat="1" x14ac:dyDescent="0.3"/>
    <row r="416" s="265" customFormat="1" x14ac:dyDescent="0.3"/>
    <row r="417" s="265" customFormat="1" x14ac:dyDescent="0.3"/>
    <row r="418" s="265" customFormat="1" x14ac:dyDescent="0.3"/>
    <row r="419" s="265" customFormat="1" x14ac:dyDescent="0.3"/>
    <row r="420" s="265" customFormat="1" x14ac:dyDescent="0.3"/>
    <row r="421" s="265" customFormat="1" x14ac:dyDescent="0.3"/>
    <row r="422" s="265" customFormat="1" x14ac:dyDescent="0.3"/>
    <row r="423" s="265" customFormat="1" x14ac:dyDescent="0.3"/>
    <row r="424" s="265" customFormat="1" x14ac:dyDescent="0.3"/>
    <row r="425" s="265" customFormat="1" x14ac:dyDescent="0.3"/>
    <row r="426" s="265" customFormat="1" x14ac:dyDescent="0.3"/>
    <row r="427" s="265" customFormat="1" x14ac:dyDescent="0.3"/>
    <row r="428" s="265" customFormat="1" x14ac:dyDescent="0.3"/>
    <row r="429" s="265" customFormat="1" x14ac:dyDescent="0.3"/>
    <row r="430" s="265" customFormat="1" x14ac:dyDescent="0.3"/>
    <row r="431" s="265" customFormat="1" x14ac:dyDescent="0.3"/>
    <row r="432" s="265" customFormat="1" x14ac:dyDescent="0.3"/>
    <row r="433" s="265" customFormat="1" x14ac:dyDescent="0.3"/>
    <row r="434" s="265" customFormat="1" x14ac:dyDescent="0.3"/>
    <row r="435" s="265" customFormat="1" x14ac:dyDescent="0.3"/>
    <row r="436" s="265" customFormat="1" x14ac:dyDescent="0.3"/>
    <row r="437" s="265" customFormat="1" x14ac:dyDescent="0.3"/>
    <row r="438" s="265" customFormat="1" x14ac:dyDescent="0.3"/>
    <row r="439" s="265" customFormat="1" x14ac:dyDescent="0.3"/>
    <row r="440" s="265" customFormat="1" x14ac:dyDescent="0.3"/>
    <row r="441" s="265" customFormat="1" x14ac:dyDescent="0.3"/>
    <row r="442" s="265" customFormat="1" x14ac:dyDescent="0.3"/>
    <row r="443" s="265" customFormat="1" x14ac:dyDescent="0.3"/>
    <row r="444" s="265" customFormat="1" x14ac:dyDescent="0.3"/>
    <row r="445" s="265" customFormat="1" x14ac:dyDescent="0.3"/>
    <row r="446" s="265" customFormat="1" x14ac:dyDescent="0.3"/>
    <row r="447" s="265" customFormat="1" x14ac:dyDescent="0.3"/>
    <row r="448" s="265" customFormat="1" x14ac:dyDescent="0.3"/>
    <row r="449" s="265" customFormat="1" x14ac:dyDescent="0.3"/>
    <row r="450" s="265" customFormat="1" x14ac:dyDescent="0.3"/>
    <row r="451" s="265" customFormat="1" x14ac:dyDescent="0.3"/>
    <row r="452" s="265" customFormat="1" x14ac:dyDescent="0.3"/>
    <row r="453" s="265" customFormat="1" x14ac:dyDescent="0.3"/>
    <row r="454" s="265" customFormat="1" x14ac:dyDescent="0.3"/>
    <row r="455" s="265" customFormat="1" x14ac:dyDescent="0.3"/>
    <row r="456" s="265" customFormat="1" x14ac:dyDescent="0.3"/>
    <row r="457" s="265" customFormat="1" x14ac:dyDescent="0.3"/>
    <row r="458" s="265" customFormat="1" x14ac:dyDescent="0.3"/>
    <row r="459" s="265" customFormat="1" x14ac:dyDescent="0.3"/>
    <row r="460" s="265" customFormat="1" x14ac:dyDescent="0.3"/>
    <row r="461" s="265" customFormat="1" x14ac:dyDescent="0.3"/>
    <row r="462" s="265" customFormat="1" x14ac:dyDescent="0.3"/>
    <row r="463" s="265" customFormat="1" x14ac:dyDescent="0.3"/>
    <row r="464" s="265" customFormat="1" x14ac:dyDescent="0.3"/>
    <row r="465" s="265" customFormat="1" x14ac:dyDescent="0.3"/>
    <row r="466" s="265" customFormat="1" x14ac:dyDescent="0.3"/>
    <row r="467" s="265" customFormat="1" x14ac:dyDescent="0.3"/>
    <row r="468" s="265" customFormat="1" x14ac:dyDescent="0.3"/>
    <row r="469" s="265" customFormat="1" x14ac:dyDescent="0.3"/>
    <row r="470" s="265" customFormat="1" x14ac:dyDescent="0.3"/>
    <row r="471" s="265" customFormat="1" x14ac:dyDescent="0.3"/>
    <row r="472" s="265" customFormat="1" x14ac:dyDescent="0.3"/>
    <row r="473" s="265" customFormat="1" x14ac:dyDescent="0.3"/>
    <row r="474" s="265" customFormat="1" x14ac:dyDescent="0.3"/>
    <row r="475" s="265" customFormat="1" x14ac:dyDescent="0.3"/>
    <row r="476" s="265" customFormat="1" x14ac:dyDescent="0.3"/>
    <row r="477" s="265" customFormat="1" x14ac:dyDescent="0.3"/>
    <row r="478" s="265" customFormat="1" x14ac:dyDescent="0.3"/>
    <row r="479" s="265" customFormat="1" x14ac:dyDescent="0.3"/>
    <row r="480" s="265" customFormat="1" x14ac:dyDescent="0.3"/>
    <row r="481" s="265" customFormat="1" x14ac:dyDescent="0.3"/>
    <row r="482" s="265" customFormat="1" x14ac:dyDescent="0.3"/>
    <row r="483" s="265" customFormat="1" x14ac:dyDescent="0.3"/>
    <row r="484" s="265" customFormat="1" x14ac:dyDescent="0.3"/>
    <row r="485" s="265" customFormat="1" x14ac:dyDescent="0.3"/>
    <row r="486" s="265" customFormat="1" x14ac:dyDescent="0.3"/>
    <row r="487" s="265" customFormat="1" x14ac:dyDescent="0.3"/>
    <row r="488" s="265" customFormat="1" x14ac:dyDescent="0.3"/>
    <row r="489" s="265" customFormat="1" x14ac:dyDescent="0.3"/>
    <row r="490" s="265" customFormat="1" x14ac:dyDescent="0.3"/>
    <row r="491" s="265" customFormat="1" x14ac:dyDescent="0.3"/>
    <row r="492" s="265" customFormat="1" x14ac:dyDescent="0.3"/>
    <row r="493" s="265" customFormat="1" x14ac:dyDescent="0.3"/>
    <row r="494" s="265" customFormat="1" x14ac:dyDescent="0.3"/>
    <row r="495" s="265" customFormat="1" x14ac:dyDescent="0.3"/>
    <row r="496" s="265" customFormat="1" x14ac:dyDescent="0.3"/>
    <row r="497" s="265" customFormat="1" x14ac:dyDescent="0.3"/>
    <row r="498" s="265" customFormat="1" x14ac:dyDescent="0.3"/>
    <row r="499" s="265" customFormat="1" x14ac:dyDescent="0.3"/>
    <row r="500" s="265" customFormat="1" x14ac:dyDescent="0.3"/>
    <row r="501" s="265" customFormat="1" x14ac:dyDescent="0.3"/>
    <row r="502" s="265" customFormat="1" x14ac:dyDescent="0.3"/>
    <row r="503" s="265" customFormat="1" x14ac:dyDescent="0.3"/>
    <row r="504" s="265" customFormat="1" x14ac:dyDescent="0.3"/>
    <row r="505" s="265" customFormat="1" x14ac:dyDescent="0.3"/>
    <row r="506" s="265" customFormat="1" x14ac:dyDescent="0.3"/>
    <row r="507" s="265" customFormat="1" x14ac:dyDescent="0.3"/>
    <row r="508" s="265" customFormat="1" x14ac:dyDescent="0.3"/>
    <row r="509" s="265" customFormat="1" x14ac:dyDescent="0.3"/>
    <row r="510" s="265" customFormat="1" x14ac:dyDescent="0.3"/>
    <row r="511" s="265" customFormat="1" x14ac:dyDescent="0.3"/>
    <row r="512" s="265" customFormat="1" x14ac:dyDescent="0.3"/>
    <row r="513" s="265" customFormat="1" x14ac:dyDescent="0.3"/>
    <row r="514" s="265" customFormat="1" x14ac:dyDescent="0.3"/>
    <row r="515" s="265" customFormat="1" x14ac:dyDescent="0.3"/>
    <row r="516" s="265" customFormat="1" x14ac:dyDescent="0.3"/>
    <row r="517" s="265" customFormat="1" x14ac:dyDescent="0.3"/>
    <row r="518" s="265" customFormat="1" x14ac:dyDescent="0.3"/>
    <row r="519" s="265" customFormat="1" x14ac:dyDescent="0.3"/>
    <row r="520" s="265" customFormat="1" x14ac:dyDescent="0.3"/>
    <row r="521" s="265" customFormat="1" x14ac:dyDescent="0.3"/>
    <row r="522" s="265" customFormat="1" x14ac:dyDescent="0.3"/>
    <row r="523" s="265" customFormat="1" x14ac:dyDescent="0.3"/>
    <row r="524" s="265" customFormat="1" x14ac:dyDescent="0.3"/>
    <row r="525" s="265" customFormat="1" x14ac:dyDescent="0.3"/>
    <row r="526" s="265" customFormat="1" x14ac:dyDescent="0.3"/>
    <row r="527" s="265" customFormat="1" x14ac:dyDescent="0.3"/>
    <row r="528" s="265" customFormat="1" x14ac:dyDescent="0.3"/>
    <row r="529" s="265" customFormat="1" x14ac:dyDescent="0.3"/>
    <row r="530" s="265" customFormat="1" x14ac:dyDescent="0.3"/>
    <row r="531" s="265" customFormat="1" x14ac:dyDescent="0.3"/>
    <row r="532" s="265" customFormat="1" x14ac:dyDescent="0.3"/>
    <row r="533" s="265" customFormat="1" x14ac:dyDescent="0.3"/>
    <row r="534" s="265" customFormat="1" x14ac:dyDescent="0.3"/>
    <row r="535" s="265" customFormat="1" x14ac:dyDescent="0.3"/>
    <row r="536" s="265" customFormat="1" x14ac:dyDescent="0.3"/>
    <row r="537" s="265" customFormat="1" x14ac:dyDescent="0.3"/>
    <row r="538" s="265" customFormat="1" x14ac:dyDescent="0.3"/>
    <row r="539" s="265" customFormat="1" x14ac:dyDescent="0.3"/>
    <row r="540" s="265" customFormat="1" x14ac:dyDescent="0.3"/>
    <row r="541" s="265" customFormat="1" x14ac:dyDescent="0.3"/>
    <row r="542" s="265" customFormat="1" x14ac:dyDescent="0.3"/>
    <row r="543" s="265" customFormat="1" x14ac:dyDescent="0.3"/>
    <row r="544" s="265" customFormat="1" x14ac:dyDescent="0.3"/>
    <row r="545" s="265" customFormat="1" x14ac:dyDescent="0.3"/>
    <row r="546" s="265" customFormat="1" x14ac:dyDescent="0.3"/>
    <row r="547" s="265" customFormat="1" x14ac:dyDescent="0.3"/>
    <row r="548" s="265" customFormat="1" x14ac:dyDescent="0.3"/>
    <row r="549" s="265" customFormat="1" x14ac:dyDescent="0.3"/>
    <row r="550" s="265" customFormat="1" x14ac:dyDescent="0.3"/>
    <row r="551" s="265" customFormat="1" x14ac:dyDescent="0.3"/>
    <row r="552" s="265" customFormat="1" x14ac:dyDescent="0.3"/>
    <row r="553" s="265" customFormat="1" x14ac:dyDescent="0.3"/>
    <row r="554" s="265" customFormat="1" x14ac:dyDescent="0.3"/>
    <row r="555" s="265" customFormat="1" x14ac:dyDescent="0.3"/>
    <row r="556" s="265" customFormat="1" x14ac:dyDescent="0.3"/>
    <row r="557" s="265" customFormat="1" x14ac:dyDescent="0.3"/>
    <row r="558" s="265" customFormat="1" x14ac:dyDescent="0.3"/>
    <row r="559" s="265" customFormat="1" x14ac:dyDescent="0.3"/>
    <row r="560" s="265" customFormat="1" x14ac:dyDescent="0.3"/>
    <row r="561" s="265" customFormat="1" x14ac:dyDescent="0.3"/>
    <row r="562" s="265" customFormat="1" x14ac:dyDescent="0.3"/>
    <row r="563" s="265" customFormat="1" x14ac:dyDescent="0.3"/>
    <row r="564" s="265" customFormat="1" x14ac:dyDescent="0.3"/>
    <row r="565" s="265" customFormat="1" x14ac:dyDescent="0.3"/>
    <row r="566" s="265" customFormat="1" x14ac:dyDescent="0.3"/>
    <row r="567" s="265" customFormat="1" x14ac:dyDescent="0.3"/>
    <row r="568" s="265" customFormat="1" x14ac:dyDescent="0.3"/>
    <row r="569" s="265" customFormat="1" x14ac:dyDescent="0.3"/>
    <row r="570" s="265" customFormat="1" x14ac:dyDescent="0.3"/>
    <row r="571" s="265" customFormat="1" x14ac:dyDescent="0.3"/>
    <row r="572" s="265" customFormat="1" x14ac:dyDescent="0.3"/>
    <row r="573" s="265" customFormat="1" x14ac:dyDescent="0.3"/>
    <row r="574" s="265" customFormat="1" x14ac:dyDescent="0.3"/>
    <row r="575" s="265" customFormat="1" x14ac:dyDescent="0.3"/>
    <row r="576" s="265" customFormat="1" x14ac:dyDescent="0.3"/>
    <row r="577" s="265" customFormat="1" x14ac:dyDescent="0.3"/>
    <row r="578" s="265" customFormat="1" x14ac:dyDescent="0.3"/>
    <row r="579" s="265" customFormat="1" x14ac:dyDescent="0.3"/>
    <row r="580" s="265" customFormat="1" x14ac:dyDescent="0.3"/>
    <row r="581" s="265" customFormat="1" x14ac:dyDescent="0.3"/>
    <row r="582" s="265" customFormat="1" x14ac:dyDescent="0.3"/>
    <row r="583" s="265" customFormat="1" x14ac:dyDescent="0.3"/>
    <row r="584" s="265" customFormat="1" x14ac:dyDescent="0.3"/>
    <row r="585" s="265" customFormat="1" x14ac:dyDescent="0.3"/>
    <row r="586" s="265" customFormat="1" x14ac:dyDescent="0.3"/>
    <row r="587" s="265" customFormat="1" x14ac:dyDescent="0.3"/>
    <row r="588" s="265" customFormat="1" x14ac:dyDescent="0.3"/>
    <row r="589" s="265" customFormat="1" x14ac:dyDescent="0.3"/>
    <row r="590" s="265" customFormat="1" x14ac:dyDescent="0.3"/>
    <row r="591" s="265" customFormat="1" x14ac:dyDescent="0.3"/>
    <row r="592" s="265" customFormat="1" x14ac:dyDescent="0.3"/>
    <row r="593" s="265" customFormat="1" x14ac:dyDescent="0.3"/>
    <row r="594" s="265" customFormat="1" x14ac:dyDescent="0.3"/>
    <row r="595" s="265" customFormat="1" x14ac:dyDescent="0.3"/>
    <row r="596" s="265" customFormat="1" x14ac:dyDescent="0.3"/>
    <row r="597" s="265" customFormat="1" x14ac:dyDescent="0.3"/>
    <row r="598" s="265" customFormat="1" x14ac:dyDescent="0.3"/>
    <row r="599" s="265" customFormat="1" x14ac:dyDescent="0.3"/>
    <row r="600" s="265" customFormat="1" x14ac:dyDescent="0.3"/>
    <row r="601" s="265" customFormat="1" x14ac:dyDescent="0.3"/>
    <row r="602" s="265" customFormat="1" x14ac:dyDescent="0.3"/>
    <row r="603" s="265" customFormat="1" x14ac:dyDescent="0.3"/>
    <row r="604" s="265" customFormat="1" x14ac:dyDescent="0.3"/>
    <row r="605" s="265" customFormat="1" x14ac:dyDescent="0.3"/>
    <row r="606" s="265" customFormat="1" x14ac:dyDescent="0.3"/>
    <row r="607" s="265" customFormat="1" x14ac:dyDescent="0.3"/>
    <row r="608" s="265" customFormat="1" x14ac:dyDescent="0.3"/>
    <row r="609" s="265" customFormat="1" x14ac:dyDescent="0.3"/>
    <row r="610" s="265" customFormat="1" x14ac:dyDescent="0.3"/>
    <row r="611" s="265" customFormat="1" x14ac:dyDescent="0.3"/>
    <row r="612" s="265" customFormat="1" x14ac:dyDescent="0.3"/>
    <row r="613" s="265" customFormat="1" x14ac:dyDescent="0.3"/>
    <row r="614" s="265" customFormat="1" x14ac:dyDescent="0.3"/>
    <row r="615" s="265" customFormat="1" x14ac:dyDescent="0.3"/>
    <row r="616" s="265" customFormat="1" x14ac:dyDescent="0.3"/>
    <row r="617" s="265" customFormat="1" x14ac:dyDescent="0.3"/>
    <row r="618" s="265" customFormat="1" x14ac:dyDescent="0.3"/>
    <row r="619" s="265" customFormat="1" x14ac:dyDescent="0.3"/>
    <row r="620" s="265" customFormat="1" x14ac:dyDescent="0.3"/>
    <row r="621" s="265" customFormat="1" x14ac:dyDescent="0.3"/>
    <row r="622" s="265" customFormat="1" x14ac:dyDescent="0.3"/>
    <row r="623" s="265" customFormat="1" x14ac:dyDescent="0.3"/>
    <row r="624" s="265" customFormat="1" x14ac:dyDescent="0.3"/>
    <row r="625" s="265" customFormat="1" x14ac:dyDescent="0.3"/>
    <row r="626" s="265" customFormat="1" x14ac:dyDescent="0.3"/>
    <row r="627" s="265" customFormat="1" x14ac:dyDescent="0.3"/>
    <row r="628" s="265" customFormat="1" x14ac:dyDescent="0.3"/>
    <row r="629" s="265" customFormat="1" x14ac:dyDescent="0.3"/>
    <row r="630" s="265" customFormat="1" x14ac:dyDescent="0.3"/>
    <row r="631" s="265" customFormat="1" x14ac:dyDescent="0.3"/>
    <row r="632" s="265" customFormat="1" x14ac:dyDescent="0.3"/>
    <row r="633" s="265" customFormat="1" x14ac:dyDescent="0.3"/>
    <row r="634" s="265" customFormat="1" x14ac:dyDescent="0.3"/>
    <row r="635" s="265" customFormat="1" x14ac:dyDescent="0.3"/>
    <row r="636" s="265" customFormat="1" x14ac:dyDescent="0.3"/>
    <row r="637" s="265" customFormat="1" x14ac:dyDescent="0.3"/>
    <row r="638" s="265" customFormat="1" x14ac:dyDescent="0.3"/>
    <row r="639" s="265" customFormat="1" x14ac:dyDescent="0.3"/>
    <row r="640" s="265" customFormat="1" x14ac:dyDescent="0.3"/>
    <row r="641" s="265" customFormat="1" x14ac:dyDescent="0.3"/>
    <row r="642" s="265" customFormat="1" x14ac:dyDescent="0.3"/>
    <row r="643" s="265" customFormat="1" x14ac:dyDescent="0.3"/>
    <row r="644" s="265" customFormat="1" x14ac:dyDescent="0.3"/>
    <row r="645" s="265" customFormat="1" x14ac:dyDescent="0.3"/>
    <row r="646" s="265" customFormat="1" x14ac:dyDescent="0.3"/>
    <row r="647" s="265" customFormat="1" x14ac:dyDescent="0.3"/>
    <row r="648" s="265" customFormat="1" x14ac:dyDescent="0.3"/>
    <row r="649" s="265" customFormat="1" x14ac:dyDescent="0.3"/>
    <row r="650" s="265" customFormat="1" x14ac:dyDescent="0.3"/>
    <row r="651" s="265" customFormat="1" x14ac:dyDescent="0.3"/>
    <row r="652" s="265" customFormat="1" x14ac:dyDescent="0.3"/>
    <row r="653" s="265" customFormat="1" x14ac:dyDescent="0.3"/>
    <row r="654" s="265" customFormat="1" x14ac:dyDescent="0.3"/>
    <row r="655" s="265" customFormat="1" x14ac:dyDescent="0.3"/>
    <row r="656" s="265" customFormat="1" x14ac:dyDescent="0.3"/>
    <row r="657" s="265" customFormat="1" x14ac:dyDescent="0.3"/>
    <row r="658" s="265" customFormat="1" x14ac:dyDescent="0.3"/>
    <row r="659" s="265" customFormat="1" x14ac:dyDescent="0.3"/>
    <row r="660" s="265" customFormat="1" x14ac:dyDescent="0.3"/>
    <row r="661" s="265" customFormat="1" x14ac:dyDescent="0.3"/>
    <row r="662" s="265" customFormat="1" x14ac:dyDescent="0.3"/>
    <row r="663" s="265" customFormat="1" x14ac:dyDescent="0.3"/>
    <row r="664" s="265" customFormat="1" x14ac:dyDescent="0.3"/>
    <row r="665" s="265" customFormat="1" x14ac:dyDescent="0.3"/>
    <row r="666" s="265" customFormat="1" x14ac:dyDescent="0.3"/>
    <row r="667" s="265" customFormat="1" x14ac:dyDescent="0.3"/>
    <row r="668" s="265" customFormat="1" x14ac:dyDescent="0.3"/>
    <row r="669" s="265" customFormat="1" x14ac:dyDescent="0.3"/>
    <row r="670" s="265" customFormat="1" x14ac:dyDescent="0.3"/>
    <row r="671" s="265" customFormat="1" x14ac:dyDescent="0.3"/>
    <row r="672" s="265" customFormat="1" x14ac:dyDescent="0.3"/>
    <row r="673" s="265" customFormat="1" x14ac:dyDescent="0.3"/>
    <row r="674" s="265" customFormat="1" x14ac:dyDescent="0.3"/>
    <row r="675" s="265" customFormat="1" x14ac:dyDescent="0.3"/>
    <row r="676" s="265" customFormat="1" x14ac:dyDescent="0.3"/>
    <row r="677" s="265" customFormat="1" x14ac:dyDescent="0.3"/>
    <row r="678" s="265" customFormat="1" x14ac:dyDescent="0.3"/>
    <row r="679" s="265" customFormat="1" x14ac:dyDescent="0.3"/>
    <row r="680" s="265" customFormat="1" x14ac:dyDescent="0.3"/>
    <row r="681" s="265" customFormat="1" x14ac:dyDescent="0.3"/>
    <row r="682" s="265" customFormat="1" x14ac:dyDescent="0.3"/>
    <row r="683" s="265" customFormat="1" x14ac:dyDescent="0.3"/>
    <row r="684" s="265" customFormat="1" x14ac:dyDescent="0.3"/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80"/>
  <sheetViews>
    <sheetView topLeftCell="A10" workbookViewId="0">
      <selection activeCell="C30" sqref="C30:D30"/>
    </sheetView>
  </sheetViews>
  <sheetFormatPr baseColWidth="10" defaultColWidth="9.109375" defaultRowHeight="14.4" x14ac:dyDescent="0.3"/>
  <cols>
    <col min="1" max="1" width="28" style="265" customWidth="1"/>
    <col min="2" max="3" width="18.88671875" style="265" customWidth="1"/>
    <col min="4" max="4" width="18.88671875" style="267" customWidth="1"/>
    <col min="5" max="6" width="9.109375" style="267"/>
    <col min="7" max="7" width="11.6640625" style="265" customWidth="1"/>
    <col min="8" max="10" width="10.44140625" style="265" bestFit="1" customWidth="1"/>
    <col min="11" max="11" width="9.109375" style="265"/>
    <col min="12" max="14" width="9.109375" style="267"/>
    <col min="15" max="16384" width="9.109375" style="265"/>
  </cols>
  <sheetData>
    <row r="1" spans="1:14" x14ac:dyDescent="0.3">
      <c r="A1" s="264" t="s">
        <v>278</v>
      </c>
      <c r="D1" s="265"/>
      <c r="E1" s="265"/>
      <c r="F1" s="265"/>
      <c r="L1" s="265"/>
      <c r="M1" s="265"/>
      <c r="N1" s="265"/>
    </row>
    <row r="2" spans="1:14" x14ac:dyDescent="0.3">
      <c r="A2" s="266"/>
      <c r="B2" s="266"/>
      <c r="C2" s="266"/>
      <c r="D2" s="266"/>
      <c r="E2" s="266"/>
      <c r="F2" s="266"/>
      <c r="L2" s="265"/>
      <c r="M2" s="265"/>
      <c r="N2" s="265"/>
    </row>
    <row r="3" spans="1:14" x14ac:dyDescent="0.3">
      <c r="A3" s="460" t="s">
        <v>40</v>
      </c>
      <c r="B3" s="276" t="s">
        <v>287</v>
      </c>
      <c r="C3" s="276" t="s">
        <v>287</v>
      </c>
      <c r="D3" s="276" t="s">
        <v>287</v>
      </c>
      <c r="E3" s="265"/>
      <c r="F3" s="265"/>
      <c r="L3" s="265"/>
      <c r="M3" s="265"/>
      <c r="N3" s="265"/>
    </row>
    <row r="4" spans="1:14" x14ac:dyDescent="0.3">
      <c r="A4" s="460"/>
      <c r="B4" s="276">
        <v>2023</v>
      </c>
      <c r="C4" s="276">
        <v>2023</v>
      </c>
      <c r="D4" s="276">
        <v>2023</v>
      </c>
      <c r="E4" s="265"/>
      <c r="F4" s="265"/>
      <c r="L4" s="265"/>
      <c r="M4" s="265"/>
      <c r="N4" s="265"/>
    </row>
    <row r="5" spans="1:14" x14ac:dyDescent="0.3">
      <c r="A5" s="460"/>
      <c r="B5" s="276"/>
      <c r="C5" s="276"/>
      <c r="D5" s="276"/>
      <c r="E5" s="265"/>
      <c r="F5" s="265"/>
      <c r="H5" s="287"/>
      <c r="L5" s="265"/>
      <c r="M5" s="265"/>
      <c r="N5" s="265"/>
    </row>
    <row r="6" spans="1:14" ht="43.2" x14ac:dyDescent="0.3">
      <c r="A6" s="460"/>
      <c r="B6" s="276" t="s">
        <v>297</v>
      </c>
      <c r="C6" s="276" t="s">
        <v>293</v>
      </c>
      <c r="D6" s="276" t="s">
        <v>298</v>
      </c>
      <c r="E6" s="265"/>
      <c r="F6" s="265"/>
      <c r="L6" s="265"/>
      <c r="M6" s="265"/>
      <c r="N6" s="265"/>
    </row>
    <row r="7" spans="1:14" x14ac:dyDescent="0.3">
      <c r="A7" s="277" t="s">
        <v>49</v>
      </c>
      <c r="B7" s="268">
        <f>($B$33-$B$28)*('ANNEXE 1 Grille'!C5/'ANNEXE 1 Grille'!C$48)</f>
        <v>1849.7824031483844</v>
      </c>
      <c r="C7" s="268">
        <v>0</v>
      </c>
      <c r="D7" s="268">
        <f>SUM(B7:C7)</f>
        <v>1849.7824031483844</v>
      </c>
      <c r="F7" s="265"/>
      <c r="H7" s="288"/>
      <c r="L7" s="265"/>
      <c r="M7" s="265"/>
      <c r="N7" s="265"/>
    </row>
    <row r="8" spans="1:14" x14ac:dyDescent="0.3">
      <c r="A8" s="278" t="s">
        <v>50</v>
      </c>
      <c r="B8" s="269">
        <v>0</v>
      </c>
      <c r="C8" s="269">
        <v>0</v>
      </c>
      <c r="D8" s="269">
        <f t="shared" ref="D8:D28" si="0">SUM(B8:C8)</f>
        <v>0</v>
      </c>
      <c r="F8" s="265"/>
      <c r="H8" s="288"/>
      <c r="L8" s="265"/>
      <c r="M8" s="265"/>
      <c r="N8" s="265"/>
    </row>
    <row r="9" spans="1:14" x14ac:dyDescent="0.3">
      <c r="A9" s="278" t="s">
        <v>51</v>
      </c>
      <c r="B9" s="269">
        <v>0</v>
      </c>
      <c r="C9" s="269">
        <v>0</v>
      </c>
      <c r="D9" s="269">
        <f t="shared" si="0"/>
        <v>0</v>
      </c>
      <c r="F9" s="265"/>
      <c r="H9" s="288"/>
      <c r="L9" s="265"/>
      <c r="M9" s="265"/>
      <c r="N9" s="265"/>
    </row>
    <row r="10" spans="1:14" x14ac:dyDescent="0.3">
      <c r="A10" s="269" t="s">
        <v>52</v>
      </c>
      <c r="B10" s="269">
        <v>0</v>
      </c>
      <c r="C10" s="269">
        <v>0</v>
      </c>
      <c r="D10" s="269">
        <f t="shared" si="0"/>
        <v>0</v>
      </c>
      <c r="F10" s="265"/>
      <c r="H10" s="288"/>
      <c r="L10" s="265"/>
      <c r="M10" s="265"/>
      <c r="N10" s="265"/>
    </row>
    <row r="11" spans="1:14" x14ac:dyDescent="0.3">
      <c r="A11" s="277" t="s">
        <v>53</v>
      </c>
      <c r="B11" s="268">
        <f>($B$33-$B$28)*('ANNEXE 1 Grille'!C9/'ANNEXE 1 Grille'!C$48)</f>
        <v>6359.4708896561269</v>
      </c>
      <c r="C11" s="268">
        <v>0</v>
      </c>
      <c r="D11" s="268">
        <f t="shared" si="0"/>
        <v>6359.4708896561269</v>
      </c>
      <c r="F11" s="265"/>
      <c r="H11" s="288"/>
      <c r="L11" s="265"/>
      <c r="M11" s="265"/>
      <c r="N11" s="265"/>
    </row>
    <row r="12" spans="1:14" x14ac:dyDescent="0.3">
      <c r="A12" s="277" t="s">
        <v>54</v>
      </c>
      <c r="B12" s="268">
        <f>($B$33-$B$28)*('ANNEXE 1 Grille'!C10/'ANNEXE 1 Grille'!C$48)</f>
        <v>3762.5744258687337</v>
      </c>
      <c r="C12" s="268">
        <v>0</v>
      </c>
      <c r="D12" s="268">
        <f t="shared" si="0"/>
        <v>3762.5744258687337</v>
      </c>
      <c r="F12" s="265"/>
      <c r="H12" s="288"/>
      <c r="L12" s="265"/>
      <c r="M12" s="265"/>
      <c r="N12" s="265"/>
    </row>
    <row r="13" spans="1:14" x14ac:dyDescent="0.3">
      <c r="A13" s="269" t="s">
        <v>55</v>
      </c>
      <c r="B13" s="269">
        <v>0</v>
      </c>
      <c r="C13" s="269">
        <v>0</v>
      </c>
      <c r="D13" s="269">
        <f t="shared" si="0"/>
        <v>0</v>
      </c>
      <c r="F13" s="265"/>
      <c r="H13" s="288"/>
      <c r="L13" s="265"/>
      <c r="M13" s="265"/>
      <c r="N13" s="265"/>
    </row>
    <row r="14" spans="1:14" x14ac:dyDescent="0.3">
      <c r="A14" s="269" t="s">
        <v>56</v>
      </c>
      <c r="B14" s="269">
        <v>0</v>
      </c>
      <c r="C14" s="269">
        <v>0</v>
      </c>
      <c r="D14" s="269">
        <f t="shared" si="0"/>
        <v>0</v>
      </c>
      <c r="F14" s="265"/>
      <c r="H14" s="288"/>
      <c r="L14" s="265"/>
      <c r="M14" s="265"/>
      <c r="N14" s="265"/>
    </row>
    <row r="15" spans="1:14" x14ac:dyDescent="0.3">
      <c r="A15" s="277" t="s">
        <v>57</v>
      </c>
      <c r="B15" s="268">
        <f>($B$33-$B$28)*('ANNEXE 1 Grille'!C13/'ANNEXE 1 Grille'!C$48)</f>
        <v>6620.5107421685498</v>
      </c>
      <c r="C15" s="268">
        <v>0</v>
      </c>
      <c r="D15" s="268">
        <f t="shared" si="0"/>
        <v>6620.5107421685498</v>
      </c>
      <c r="F15" s="265"/>
      <c r="H15" s="288"/>
      <c r="L15" s="265"/>
      <c r="M15" s="265"/>
      <c r="N15" s="265"/>
    </row>
    <row r="16" spans="1:14" x14ac:dyDescent="0.3">
      <c r="A16" s="269" t="s">
        <v>58</v>
      </c>
      <c r="B16" s="269">
        <v>0</v>
      </c>
      <c r="C16" s="269">
        <v>0</v>
      </c>
      <c r="D16" s="269">
        <f t="shared" si="0"/>
        <v>0</v>
      </c>
      <c r="F16" s="265"/>
      <c r="H16" s="288"/>
      <c r="L16" s="265"/>
      <c r="M16" s="265"/>
      <c r="N16" s="265"/>
    </row>
    <row r="17" spans="1:14" x14ac:dyDescent="0.3">
      <c r="A17" s="278" t="s">
        <v>59</v>
      </c>
      <c r="B17" s="269">
        <v>0</v>
      </c>
      <c r="C17" s="269">
        <v>0</v>
      </c>
      <c r="D17" s="269">
        <f t="shared" si="0"/>
        <v>0</v>
      </c>
      <c r="F17" s="265"/>
      <c r="H17" s="288"/>
      <c r="L17" s="265"/>
      <c r="M17" s="265"/>
      <c r="N17" s="265"/>
    </row>
    <row r="18" spans="1:14" x14ac:dyDescent="0.3">
      <c r="A18" s="277" t="s">
        <v>60</v>
      </c>
      <c r="B18" s="268">
        <f>($B$33-$B$28)*('ANNEXE 1 Grille'!C16/'ANNEXE 1 Grille'!C$48)</f>
        <v>130.51992625621207</v>
      </c>
      <c r="C18" s="268">
        <v>0</v>
      </c>
      <c r="D18" s="268">
        <f t="shared" si="0"/>
        <v>130.51992625621207</v>
      </c>
      <c r="F18" s="265"/>
      <c r="H18" s="288"/>
      <c r="L18" s="265"/>
      <c r="M18" s="265"/>
      <c r="N18" s="265"/>
    </row>
    <row r="19" spans="1:14" x14ac:dyDescent="0.3">
      <c r="A19" s="277" t="s">
        <v>61</v>
      </c>
      <c r="B19" s="268">
        <f>($B$33-$B$28)*('ANNEXE 1 Grille'!C17/'ANNEXE 1 Grille'!C$48)</f>
        <v>2880.4397518612318</v>
      </c>
      <c r="C19" s="268">
        <v>0</v>
      </c>
      <c r="D19" s="268">
        <f t="shared" si="0"/>
        <v>2880.4397518612318</v>
      </c>
      <c r="F19" s="265"/>
      <c r="H19" s="288"/>
      <c r="L19" s="265"/>
      <c r="M19" s="265"/>
      <c r="N19" s="265"/>
    </row>
    <row r="20" spans="1:14" x14ac:dyDescent="0.3">
      <c r="A20" s="278" t="s">
        <v>62</v>
      </c>
      <c r="B20" s="269">
        <v>0</v>
      </c>
      <c r="C20" s="269">
        <v>0</v>
      </c>
      <c r="D20" s="269">
        <f t="shared" si="0"/>
        <v>0</v>
      </c>
      <c r="F20" s="265"/>
      <c r="H20" s="288"/>
      <c r="L20" s="265"/>
      <c r="M20" s="265"/>
      <c r="N20" s="265"/>
    </row>
    <row r="21" spans="1:14" x14ac:dyDescent="0.3">
      <c r="A21" s="278" t="s">
        <v>63</v>
      </c>
      <c r="B21" s="269">
        <v>0</v>
      </c>
      <c r="C21" s="269">
        <v>0</v>
      </c>
      <c r="D21" s="269">
        <f t="shared" si="0"/>
        <v>0</v>
      </c>
      <c r="F21" s="265"/>
      <c r="H21" s="288"/>
      <c r="L21" s="265"/>
      <c r="M21" s="265"/>
      <c r="N21" s="265"/>
    </row>
    <row r="22" spans="1:14" x14ac:dyDescent="0.3">
      <c r="A22" s="278" t="s">
        <v>64</v>
      </c>
      <c r="B22" s="269">
        <v>0</v>
      </c>
      <c r="C22" s="269">
        <v>0</v>
      </c>
      <c r="D22" s="269">
        <f t="shared" si="0"/>
        <v>0</v>
      </c>
      <c r="F22" s="265"/>
      <c r="H22" s="288"/>
      <c r="L22" s="265"/>
      <c r="M22" s="265"/>
      <c r="N22" s="265"/>
    </row>
    <row r="23" spans="1:14" x14ac:dyDescent="0.3">
      <c r="A23" s="269" t="s">
        <v>65</v>
      </c>
      <c r="B23" s="269">
        <v>0</v>
      </c>
      <c r="C23" s="269">
        <v>0</v>
      </c>
      <c r="D23" s="269">
        <f t="shared" si="0"/>
        <v>0</v>
      </c>
      <c r="F23" s="265"/>
      <c r="H23" s="288"/>
      <c r="L23" s="265"/>
      <c r="M23" s="265"/>
      <c r="N23" s="265"/>
    </row>
    <row r="24" spans="1:14" x14ac:dyDescent="0.3">
      <c r="A24" s="277" t="s">
        <v>66</v>
      </c>
      <c r="B24" s="268">
        <f>($B$33-$B$28)*('ANNEXE 1 Grille'!C22/'ANNEXE 1 Grille'!C$48)</f>
        <v>216.03298138959235</v>
      </c>
      <c r="C24" s="268">
        <v>0</v>
      </c>
      <c r="D24" s="268">
        <f t="shared" si="0"/>
        <v>216.03298138959235</v>
      </c>
      <c r="F24" s="265"/>
      <c r="H24" s="288"/>
      <c r="L24" s="265"/>
      <c r="M24" s="265"/>
      <c r="N24" s="265"/>
    </row>
    <row r="25" spans="1:14" x14ac:dyDescent="0.3">
      <c r="A25" s="277" t="s">
        <v>67</v>
      </c>
      <c r="B25" s="268">
        <f>($B$33-$B$28)*('ANNEXE 1 Grille'!C23/'ANNEXE 1 Grille'!C$48)</f>
        <v>1381.7109434709348</v>
      </c>
      <c r="C25" s="268">
        <v>0</v>
      </c>
      <c r="D25" s="268">
        <f t="shared" si="0"/>
        <v>1381.7109434709348</v>
      </c>
      <c r="F25" s="265"/>
      <c r="H25" s="288"/>
      <c r="L25" s="265"/>
      <c r="M25" s="265"/>
      <c r="N25" s="265"/>
    </row>
    <row r="26" spans="1:14" x14ac:dyDescent="0.3">
      <c r="A26" s="277" t="s">
        <v>68</v>
      </c>
      <c r="B26" s="268">
        <f>($B$33-$B$28)*('ANNEXE 1 Grille'!C24/'ANNEXE 1 Grille'!C$48)</f>
        <v>2776.9239482787184</v>
      </c>
      <c r="C26" s="268">
        <v>0</v>
      </c>
      <c r="D26" s="268">
        <f t="shared" si="0"/>
        <v>2776.9239482787184</v>
      </c>
      <c r="F26" s="265"/>
      <c r="H26" s="288"/>
      <c r="L26" s="265"/>
      <c r="M26" s="265"/>
      <c r="N26" s="265"/>
    </row>
    <row r="27" spans="1:14" x14ac:dyDescent="0.3">
      <c r="A27" s="277" t="s">
        <v>69</v>
      </c>
      <c r="B27" s="268">
        <f>($B$33-$B$28)*('ANNEXE 1 Grille'!C25/'ANNEXE 1 Grille'!C$48)</f>
        <v>3434.0242666720628</v>
      </c>
      <c r="C27" s="268">
        <v>0</v>
      </c>
      <c r="D27" s="268">
        <f t="shared" si="0"/>
        <v>3434.0242666720628</v>
      </c>
      <c r="F27" s="265"/>
      <c r="H27" s="288"/>
      <c r="L27" s="265"/>
      <c r="M27" s="265"/>
      <c r="N27" s="265"/>
    </row>
    <row r="28" spans="1:14" x14ac:dyDescent="0.3">
      <c r="A28" s="281" t="s">
        <v>129</v>
      </c>
      <c r="B28" s="286">
        <f>B33*B39</f>
        <v>10333.942530378843</v>
      </c>
      <c r="C28" s="286">
        <v>0</v>
      </c>
      <c r="D28" s="286">
        <f t="shared" si="0"/>
        <v>10333.942530378843</v>
      </c>
      <c r="E28" s="265"/>
      <c r="F28" s="265"/>
      <c r="G28" s="288"/>
      <c r="H28" s="289"/>
      <c r="I28" s="288"/>
      <c r="J28" s="288"/>
      <c r="L28" s="265"/>
      <c r="M28" s="265"/>
      <c r="N28" s="265"/>
    </row>
    <row r="29" spans="1:14" x14ac:dyDescent="0.3">
      <c r="A29" s="279" t="s">
        <v>72</v>
      </c>
      <c r="B29" s="279">
        <f>SUM(B7:B28)</f>
        <v>39745.932809149388</v>
      </c>
      <c r="C29" s="279">
        <f t="shared" ref="C29:D29" si="1">SUM(C7:C28)</f>
        <v>0</v>
      </c>
      <c r="D29" s="279">
        <f t="shared" si="1"/>
        <v>39745.932809149388</v>
      </c>
      <c r="E29" s="265"/>
      <c r="F29" s="265"/>
      <c r="I29" s="288"/>
      <c r="L29" s="265"/>
      <c r="M29" s="265"/>
      <c r="N29" s="265"/>
    </row>
    <row r="30" spans="1:14" ht="28.8" x14ac:dyDescent="0.3">
      <c r="A30" s="272" t="s">
        <v>130</v>
      </c>
      <c r="B30" s="270">
        <f>B29-B28</f>
        <v>29411.990278770543</v>
      </c>
      <c r="C30" s="270"/>
      <c r="D30" s="270"/>
      <c r="E30" s="265"/>
      <c r="F30" s="265"/>
      <c r="L30" s="265"/>
      <c r="M30" s="265"/>
      <c r="N30" s="265"/>
    </row>
    <row r="31" spans="1:14" x14ac:dyDescent="0.3">
      <c r="D31" s="265"/>
      <c r="E31" s="265"/>
      <c r="F31" s="265"/>
      <c r="L31" s="265"/>
      <c r="M31" s="265"/>
      <c r="N31" s="265"/>
    </row>
    <row r="32" spans="1:14" x14ac:dyDescent="0.3">
      <c r="A32" s="281" t="s">
        <v>132</v>
      </c>
      <c r="B32" s="276" t="s">
        <v>39</v>
      </c>
      <c r="C32" s="297" t="s">
        <v>283</v>
      </c>
      <c r="D32" s="265"/>
      <c r="E32" s="266"/>
      <c r="F32" s="266"/>
      <c r="G32" s="266"/>
      <c r="H32" s="266"/>
      <c r="L32" s="265"/>
      <c r="M32" s="265"/>
      <c r="N32" s="265"/>
    </row>
    <row r="33" spans="1:14" x14ac:dyDescent="0.3">
      <c r="A33" s="282" t="s">
        <v>201</v>
      </c>
      <c r="B33" s="284">
        <f>B35*B37</f>
        <v>39745.932809149395</v>
      </c>
      <c r="C33" s="297" t="b">
        <f>B33=B29</f>
        <v>1</v>
      </c>
      <c r="D33" s="265"/>
      <c r="E33" s="266"/>
      <c r="F33" s="266"/>
      <c r="G33" s="266"/>
      <c r="H33" s="266"/>
      <c r="L33" s="265"/>
      <c r="M33" s="265"/>
      <c r="N33" s="265"/>
    </row>
    <row r="34" spans="1:14" x14ac:dyDescent="0.3">
      <c r="A34" s="282" t="s">
        <v>202</v>
      </c>
      <c r="B34" s="284">
        <f>B33*1.2</f>
        <v>47695.119370979271</v>
      </c>
      <c r="C34" s="297"/>
      <c r="D34" s="265"/>
      <c r="E34" s="266"/>
      <c r="F34" s="266"/>
      <c r="G34" s="266"/>
      <c r="H34" s="266"/>
      <c r="L34" s="265"/>
      <c r="M34" s="265"/>
      <c r="N34" s="265"/>
    </row>
    <row r="35" spans="1:14" x14ac:dyDescent="0.3">
      <c r="A35" s="282" t="s">
        <v>142</v>
      </c>
      <c r="B35" s="284">
        <v>38830</v>
      </c>
      <c r="C35" s="297"/>
      <c r="D35" s="265"/>
      <c r="E35" s="266"/>
      <c r="F35" s="266"/>
      <c r="G35" s="266"/>
      <c r="H35" s="266"/>
      <c r="L35" s="265"/>
      <c r="M35" s="265"/>
      <c r="N35" s="265"/>
    </row>
    <row r="36" spans="1:14" x14ac:dyDescent="0.3">
      <c r="A36" s="282" t="s">
        <v>143</v>
      </c>
      <c r="B36" s="284">
        <f>B35*1.2</f>
        <v>46596</v>
      </c>
      <c r="C36" s="297"/>
      <c r="D36" s="266"/>
      <c r="E36" s="266"/>
      <c r="F36" s="266"/>
      <c r="L36" s="265"/>
      <c r="M36" s="265"/>
      <c r="N36" s="265"/>
    </row>
    <row r="37" spans="1:14" x14ac:dyDescent="0.3">
      <c r="A37" s="282" t="s">
        <v>285</v>
      </c>
      <c r="B37" s="271">
        <f>'Indice Syntec'!C4</f>
        <v>1.0235882773409579</v>
      </c>
      <c r="C37" s="297" t="s">
        <v>268</v>
      </c>
      <c r="D37" s="266"/>
      <c r="E37" s="266"/>
      <c r="F37" s="266"/>
      <c r="L37" s="265"/>
      <c r="M37" s="265"/>
      <c r="N37" s="265"/>
    </row>
    <row r="38" spans="1:14" x14ac:dyDescent="0.3">
      <c r="D38" s="265"/>
      <c r="E38" s="265"/>
      <c r="F38" s="265"/>
      <c r="L38" s="265"/>
      <c r="M38" s="265"/>
      <c r="N38" s="265"/>
    </row>
    <row r="39" spans="1:14" x14ac:dyDescent="0.3">
      <c r="A39" s="282" t="s">
        <v>269</v>
      </c>
      <c r="B39" s="274">
        <v>0.26</v>
      </c>
      <c r="D39" s="265"/>
      <c r="E39" s="265"/>
      <c r="F39" s="265"/>
      <c r="L39" s="265"/>
      <c r="M39" s="265"/>
      <c r="N39" s="265"/>
    </row>
    <row r="40" spans="1:14" x14ac:dyDescent="0.3">
      <c r="A40" s="282" t="s">
        <v>270</v>
      </c>
      <c r="B40" s="274">
        <f>1-B39</f>
        <v>0.74</v>
      </c>
      <c r="D40" s="265"/>
      <c r="E40" s="265"/>
      <c r="F40" s="265"/>
      <c r="L40" s="265"/>
      <c r="M40" s="265"/>
      <c r="N40" s="265"/>
    </row>
    <row r="41" spans="1:14" x14ac:dyDescent="0.3">
      <c r="D41" s="265"/>
      <c r="E41" s="265"/>
      <c r="F41" s="265"/>
      <c r="L41" s="265"/>
      <c r="M41" s="265"/>
      <c r="N41" s="265"/>
    </row>
    <row r="42" spans="1:14" x14ac:dyDescent="0.3">
      <c r="D42" s="265"/>
      <c r="E42" s="265"/>
      <c r="F42" s="265"/>
      <c r="L42" s="265"/>
      <c r="M42" s="265"/>
      <c r="N42" s="265"/>
    </row>
    <row r="43" spans="1:14" x14ac:dyDescent="0.3">
      <c r="D43" s="265"/>
      <c r="E43" s="265"/>
      <c r="F43" s="265"/>
      <c r="L43" s="265"/>
      <c r="M43" s="265"/>
      <c r="N43" s="265"/>
    </row>
    <row r="44" spans="1:14" x14ac:dyDescent="0.3">
      <c r="D44" s="265"/>
      <c r="E44" s="265"/>
      <c r="F44" s="265"/>
      <c r="L44" s="265"/>
      <c r="M44" s="265"/>
      <c r="N44" s="265"/>
    </row>
    <row r="45" spans="1:14" x14ac:dyDescent="0.3">
      <c r="D45" s="265"/>
      <c r="E45" s="265"/>
      <c r="F45" s="265"/>
      <c r="L45" s="265"/>
      <c r="M45" s="265"/>
      <c r="N45" s="265"/>
    </row>
    <row r="46" spans="1:14" x14ac:dyDescent="0.3">
      <c r="D46" s="265"/>
      <c r="E46" s="265"/>
      <c r="F46" s="265"/>
      <c r="L46" s="265"/>
      <c r="M46" s="265"/>
      <c r="N46" s="265"/>
    </row>
    <row r="47" spans="1:14" x14ac:dyDescent="0.3">
      <c r="D47" s="265"/>
      <c r="E47" s="265"/>
      <c r="F47" s="265"/>
      <c r="L47" s="265"/>
      <c r="M47" s="265"/>
      <c r="N47" s="265"/>
    </row>
    <row r="48" spans="1:14" x14ac:dyDescent="0.3">
      <c r="D48" s="265"/>
      <c r="E48" s="265"/>
      <c r="F48" s="265"/>
      <c r="L48" s="265"/>
      <c r="M48" s="265"/>
      <c r="N48" s="265"/>
    </row>
    <row r="49" s="265" customFormat="1" x14ac:dyDescent="0.3"/>
    <row r="50" s="265" customFormat="1" x14ac:dyDescent="0.3"/>
    <row r="51" s="265" customFormat="1" x14ac:dyDescent="0.3"/>
    <row r="52" s="265" customFormat="1" x14ac:dyDescent="0.3"/>
    <row r="53" s="265" customFormat="1" x14ac:dyDescent="0.3"/>
    <row r="54" s="265" customFormat="1" x14ac:dyDescent="0.3"/>
    <row r="55" s="265" customFormat="1" x14ac:dyDescent="0.3"/>
    <row r="56" s="265" customFormat="1" x14ac:dyDescent="0.3"/>
    <row r="57" s="265" customFormat="1" x14ac:dyDescent="0.3"/>
    <row r="58" s="265" customFormat="1" x14ac:dyDescent="0.3"/>
    <row r="59" s="265" customFormat="1" x14ac:dyDescent="0.3"/>
    <row r="60" s="265" customFormat="1" x14ac:dyDescent="0.3"/>
    <row r="61" s="265" customFormat="1" x14ac:dyDescent="0.3"/>
    <row r="62" s="265" customFormat="1" x14ac:dyDescent="0.3"/>
    <row r="63" s="265" customFormat="1" x14ac:dyDescent="0.3"/>
    <row r="64" s="265" customFormat="1" x14ac:dyDescent="0.3"/>
    <row r="65" s="265" customFormat="1" x14ac:dyDescent="0.3"/>
    <row r="66" s="265" customFormat="1" x14ac:dyDescent="0.3"/>
    <row r="67" s="265" customFormat="1" x14ac:dyDescent="0.3"/>
    <row r="68" s="265" customFormat="1" x14ac:dyDescent="0.3"/>
    <row r="69" s="265" customFormat="1" x14ac:dyDescent="0.3"/>
    <row r="70" s="265" customFormat="1" x14ac:dyDescent="0.3"/>
    <row r="71" s="265" customFormat="1" x14ac:dyDescent="0.3"/>
    <row r="72" s="265" customFormat="1" x14ac:dyDescent="0.3"/>
    <row r="73" s="265" customFormat="1" x14ac:dyDescent="0.3"/>
    <row r="74" s="265" customFormat="1" x14ac:dyDescent="0.3"/>
    <row r="75" s="265" customFormat="1" x14ac:dyDescent="0.3"/>
    <row r="76" s="265" customFormat="1" x14ac:dyDescent="0.3"/>
    <row r="77" s="265" customFormat="1" x14ac:dyDescent="0.3"/>
    <row r="78" s="265" customFormat="1" x14ac:dyDescent="0.3"/>
    <row r="79" s="265" customFormat="1" x14ac:dyDescent="0.3"/>
    <row r="80" s="265" customFormat="1" x14ac:dyDescent="0.3"/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M80"/>
  <sheetViews>
    <sheetView topLeftCell="A16" workbookViewId="0">
      <selection activeCell="D34" sqref="D34"/>
    </sheetView>
  </sheetViews>
  <sheetFormatPr baseColWidth="10" defaultColWidth="9.109375" defaultRowHeight="14.4" x14ac:dyDescent="0.3"/>
  <cols>
    <col min="1" max="1" width="26.88671875" style="265" customWidth="1"/>
    <col min="2" max="2" width="20.44140625" style="265" customWidth="1"/>
    <col min="3" max="3" width="20.44140625" style="267" customWidth="1"/>
    <col min="4" max="4" width="20.44140625" style="265" customWidth="1"/>
    <col min="5" max="5" width="9.109375" style="267"/>
    <col min="6" max="6" width="10.44140625" style="265" bestFit="1" customWidth="1"/>
    <col min="7" max="9" width="9.109375" style="265"/>
    <col min="10" max="12" width="9.109375" style="267"/>
    <col min="13" max="16384" width="9.109375" style="265"/>
  </cols>
  <sheetData>
    <row r="1" spans="1:12" x14ac:dyDescent="0.3">
      <c r="A1" s="264" t="s">
        <v>280</v>
      </c>
      <c r="C1" s="265"/>
      <c r="E1" s="265"/>
      <c r="J1" s="265"/>
      <c r="K1" s="265"/>
      <c r="L1" s="265"/>
    </row>
    <row r="2" spans="1:12" x14ac:dyDescent="0.3">
      <c r="C2" s="265"/>
      <c r="E2" s="265"/>
      <c r="J2" s="265"/>
      <c r="K2" s="265"/>
      <c r="L2" s="265"/>
    </row>
    <row r="3" spans="1:12" x14ac:dyDescent="0.3">
      <c r="A3" s="460" t="s">
        <v>40</v>
      </c>
      <c r="B3" s="276" t="s">
        <v>133</v>
      </c>
      <c r="C3" s="276" t="s">
        <v>133</v>
      </c>
      <c r="D3" s="276" t="s">
        <v>133</v>
      </c>
      <c r="E3" s="265"/>
      <c r="J3" s="265"/>
      <c r="K3" s="265"/>
      <c r="L3" s="265"/>
    </row>
    <row r="4" spans="1:12" x14ac:dyDescent="0.3">
      <c r="A4" s="460"/>
      <c r="B4" s="276">
        <v>2023</v>
      </c>
      <c r="C4" s="276">
        <v>2023</v>
      </c>
      <c r="D4" s="276">
        <v>2023</v>
      </c>
      <c r="E4" s="265"/>
      <c r="J4" s="265"/>
      <c r="K4" s="265"/>
      <c r="L4" s="265"/>
    </row>
    <row r="5" spans="1:12" x14ac:dyDescent="0.3">
      <c r="A5" s="460"/>
      <c r="B5" s="276"/>
      <c r="C5" s="276"/>
      <c r="D5" s="276"/>
      <c r="E5" s="265"/>
      <c r="J5" s="265"/>
      <c r="K5" s="265"/>
      <c r="L5" s="265"/>
    </row>
    <row r="6" spans="1:12" ht="28.8" x14ac:dyDescent="0.3">
      <c r="A6" s="460"/>
      <c r="B6" s="276" t="s">
        <v>299</v>
      </c>
      <c r="C6" s="276" t="s">
        <v>131</v>
      </c>
      <c r="D6" s="276" t="s">
        <v>298</v>
      </c>
      <c r="E6" s="265"/>
      <c r="J6" s="265"/>
      <c r="K6" s="265"/>
      <c r="L6" s="265"/>
    </row>
    <row r="7" spans="1:12" x14ac:dyDescent="0.3">
      <c r="A7" s="277" t="s">
        <v>49</v>
      </c>
      <c r="B7" s="291">
        <f>($B$33-$B$28)*('ANNEXE 1 Grille'!C5/'ANNEXE 1 Grille'!C$47)</f>
        <v>4869.4318808604521</v>
      </c>
      <c r="C7" s="312">
        <v>0</v>
      </c>
      <c r="D7" s="291">
        <f>SUM(B7:C7)</f>
        <v>4869.4318808604521</v>
      </c>
      <c r="E7" s="265"/>
      <c r="J7" s="265"/>
      <c r="K7" s="265"/>
      <c r="L7" s="265"/>
    </row>
    <row r="8" spans="1:12" x14ac:dyDescent="0.3">
      <c r="A8" s="278" t="s">
        <v>50</v>
      </c>
      <c r="B8" s="292">
        <v>0</v>
      </c>
      <c r="C8" s="312">
        <v>0</v>
      </c>
      <c r="D8" s="292">
        <f t="shared" ref="D8:D29" si="0">SUM(B8:C8)</f>
        <v>0</v>
      </c>
      <c r="E8" s="265"/>
      <c r="J8" s="265"/>
      <c r="K8" s="265"/>
      <c r="L8" s="265"/>
    </row>
    <row r="9" spans="1:12" x14ac:dyDescent="0.3">
      <c r="A9" s="277" t="s">
        <v>51</v>
      </c>
      <c r="B9" s="291">
        <f>($B$33-$B$28)*('ANNEXE 1 Grille'!C7/'ANNEXE 1 Grille'!C$47)</f>
        <v>3068.5714285714284</v>
      </c>
      <c r="C9" s="312">
        <v>0</v>
      </c>
      <c r="D9" s="291">
        <f t="shared" si="0"/>
        <v>3068.5714285714284</v>
      </c>
      <c r="E9" s="265"/>
      <c r="J9" s="265"/>
      <c r="K9" s="265"/>
      <c r="L9" s="265"/>
    </row>
    <row r="10" spans="1:12" x14ac:dyDescent="0.3">
      <c r="A10" s="277" t="s">
        <v>52</v>
      </c>
      <c r="B10" s="291">
        <f>($B$33-$B$28)*('ANNEXE 1 Grille'!C8/'ANNEXE 1 Grille'!C$47)</f>
        <v>1575.7528957528957</v>
      </c>
      <c r="C10" s="312">
        <v>0</v>
      </c>
      <c r="D10" s="291">
        <f t="shared" si="0"/>
        <v>1575.7528957528957</v>
      </c>
      <c r="E10" s="265"/>
      <c r="J10" s="265"/>
      <c r="K10" s="265"/>
      <c r="L10" s="265"/>
    </row>
    <row r="11" spans="1:12" x14ac:dyDescent="0.3">
      <c r="A11" s="277" t="s">
        <v>53</v>
      </c>
      <c r="B11" s="291">
        <f>($B$33-$B$28)*('ANNEXE 1 Grille'!C9/'ANNEXE 1 Grille'!C$47)</f>
        <v>16740.893546607833</v>
      </c>
      <c r="C11" s="312">
        <v>0</v>
      </c>
      <c r="D11" s="291">
        <f t="shared" si="0"/>
        <v>16740.893546607833</v>
      </c>
      <c r="E11" s="265"/>
      <c r="J11" s="265"/>
      <c r="K11" s="265"/>
      <c r="L11" s="265"/>
    </row>
    <row r="12" spans="1:12" x14ac:dyDescent="0.3">
      <c r="A12" s="277" t="s">
        <v>54</v>
      </c>
      <c r="B12" s="291">
        <f>($B$33-$B$28)*('ANNEXE 1 Grille'!C10/'ANNEXE 1 Grille'!C$47)</f>
        <v>9904.7324875896302</v>
      </c>
      <c r="C12" s="312">
        <v>0</v>
      </c>
      <c r="D12" s="291">
        <f t="shared" si="0"/>
        <v>9904.7324875896302</v>
      </c>
      <c r="E12" s="265"/>
      <c r="J12" s="265"/>
      <c r="K12" s="265"/>
      <c r="L12" s="265"/>
    </row>
    <row r="13" spans="1:12" x14ac:dyDescent="0.3">
      <c r="A13" s="277" t="s">
        <v>55</v>
      </c>
      <c r="B13" s="291">
        <f>($B$33-$B$28)*('ANNEXE 1 Grille'!C11/'ANNEXE 1 Grille'!C$47)</f>
        <v>485.75841147269728</v>
      </c>
      <c r="C13" s="312">
        <v>0</v>
      </c>
      <c r="D13" s="291">
        <f t="shared" si="0"/>
        <v>485.75841147269728</v>
      </c>
      <c r="E13" s="265"/>
      <c r="J13" s="265"/>
      <c r="K13" s="265"/>
      <c r="L13" s="265"/>
    </row>
    <row r="14" spans="1:12" x14ac:dyDescent="0.3">
      <c r="A14" s="277" t="s">
        <v>56</v>
      </c>
      <c r="B14" s="291">
        <f>($B$33-$B$28)*('ANNEXE 1 Grille'!C12/'ANNEXE 1 Grille'!C$47)</f>
        <v>2760.529509100938</v>
      </c>
      <c r="C14" s="312">
        <v>0</v>
      </c>
      <c r="D14" s="291">
        <f t="shared" si="0"/>
        <v>2760.529509100938</v>
      </c>
      <c r="E14" s="265"/>
      <c r="J14" s="265"/>
      <c r="K14" s="265"/>
      <c r="L14" s="265"/>
    </row>
    <row r="15" spans="1:12" x14ac:dyDescent="0.3">
      <c r="A15" s="277" t="s">
        <v>57</v>
      </c>
      <c r="B15" s="291">
        <f>($B$33-$B$28)*('ANNEXE 1 Grille'!C13/'ANNEXE 1 Grille'!C$47)</f>
        <v>17428.063982349697</v>
      </c>
      <c r="C15" s="312">
        <v>0</v>
      </c>
      <c r="D15" s="291">
        <f t="shared" si="0"/>
        <v>17428.063982349697</v>
      </c>
      <c r="E15" s="265"/>
      <c r="J15" s="265"/>
      <c r="K15" s="265"/>
      <c r="L15" s="265"/>
    </row>
    <row r="16" spans="1:12" x14ac:dyDescent="0.3">
      <c r="A16" s="277" t="s">
        <v>58</v>
      </c>
      <c r="B16" s="291">
        <f>($B$33-$B$28)*('ANNEXE 1 Grille'!C14/'ANNEXE 1 Grille'!C$47)</f>
        <v>1007.0601213458357</v>
      </c>
      <c r="C16" s="312">
        <v>0</v>
      </c>
      <c r="D16" s="291">
        <f t="shared" si="0"/>
        <v>1007.0601213458357</v>
      </c>
      <c r="E16" s="265"/>
      <c r="J16" s="265"/>
      <c r="K16" s="265"/>
      <c r="L16" s="265"/>
    </row>
    <row r="17" spans="1:12" x14ac:dyDescent="0.3">
      <c r="A17" s="277" t="s">
        <v>59</v>
      </c>
      <c r="B17" s="291">
        <f>($B$33-$B$28)*('ANNEXE 1 Grille'!C15/'ANNEXE 1 Grille'!C$47)</f>
        <v>2452.487589630447</v>
      </c>
      <c r="C17" s="312">
        <v>0</v>
      </c>
      <c r="D17" s="291">
        <f t="shared" si="0"/>
        <v>2452.487589630447</v>
      </c>
      <c r="E17" s="265"/>
      <c r="J17" s="265"/>
      <c r="K17" s="265"/>
      <c r="L17" s="265"/>
    </row>
    <row r="18" spans="1:12" x14ac:dyDescent="0.3">
      <c r="A18" s="277" t="s">
        <v>60</v>
      </c>
      <c r="B18" s="291">
        <f>($B$33-$B$28)*('ANNEXE 1 Grille'!C16/'ANNEXE 1 Grille'!C$47)</f>
        <v>343.58521787093213</v>
      </c>
      <c r="C18" s="312">
        <v>0</v>
      </c>
      <c r="D18" s="291">
        <f t="shared" si="0"/>
        <v>343.58521787093213</v>
      </c>
      <c r="E18" s="265"/>
      <c r="J18" s="265"/>
      <c r="K18" s="265"/>
      <c r="L18" s="265"/>
    </row>
    <row r="19" spans="1:12" x14ac:dyDescent="0.3">
      <c r="A19" s="277" t="s">
        <v>61</v>
      </c>
      <c r="B19" s="291">
        <f>($B$33-$B$28)*('ANNEXE 1 Grille'!C17/'ANNEXE 1 Grille'!C$47)</f>
        <v>7582.5703254274686</v>
      </c>
      <c r="C19" s="312">
        <v>0</v>
      </c>
      <c r="D19" s="291">
        <f t="shared" si="0"/>
        <v>7582.5703254274686</v>
      </c>
      <c r="E19" s="265"/>
      <c r="J19" s="265"/>
      <c r="K19" s="265"/>
      <c r="L19" s="265"/>
    </row>
    <row r="20" spans="1:12" x14ac:dyDescent="0.3">
      <c r="A20" s="277" t="s">
        <v>62</v>
      </c>
      <c r="B20" s="291">
        <f>($B$33-$B$28)*('ANNEXE 1 Grille'!C18/'ANNEXE 1 Grille'!C$47)</f>
        <v>11065.81356867071</v>
      </c>
      <c r="C20" s="312">
        <v>0</v>
      </c>
      <c r="D20" s="291">
        <f t="shared" si="0"/>
        <v>11065.81356867071</v>
      </c>
      <c r="E20" s="265"/>
      <c r="J20" s="265"/>
      <c r="K20" s="265"/>
      <c r="L20" s="265"/>
    </row>
    <row r="21" spans="1:12" x14ac:dyDescent="0.3">
      <c r="A21" s="277" t="s">
        <v>63</v>
      </c>
      <c r="B21" s="291">
        <f>($B$33-$B$28)*('ANNEXE 1 Grille'!C19/'ANNEXE 1 Grille'!C$47)</f>
        <v>438.36734693877554</v>
      </c>
      <c r="C21" s="312">
        <v>0</v>
      </c>
      <c r="D21" s="291">
        <f t="shared" si="0"/>
        <v>438.36734693877554</v>
      </c>
      <c r="E21" s="265"/>
      <c r="J21" s="265"/>
      <c r="K21" s="265"/>
      <c r="L21" s="265"/>
    </row>
    <row r="22" spans="1:12" x14ac:dyDescent="0.3">
      <c r="A22" s="277" t="s">
        <v>64</v>
      </c>
      <c r="B22" s="291">
        <f>($B$33-$B$28)*('ANNEXE 1 Grille'!C20/'ANNEXE 1 Grille'!C$47)</f>
        <v>5153.7782680639821</v>
      </c>
      <c r="C22" s="312">
        <v>0</v>
      </c>
      <c r="D22" s="291">
        <f t="shared" si="0"/>
        <v>5153.7782680639821</v>
      </c>
      <c r="E22" s="265"/>
      <c r="J22" s="265"/>
      <c r="K22" s="265"/>
      <c r="L22" s="265"/>
    </row>
    <row r="23" spans="1:12" x14ac:dyDescent="0.3">
      <c r="A23" s="277" t="s">
        <v>65</v>
      </c>
      <c r="B23" s="291">
        <f>($B$33-$B$28)*('ANNEXE 1 Grille'!C21/'ANNEXE 1 Grille'!C$47)</f>
        <v>1966.7291781577496</v>
      </c>
      <c r="C23" s="312">
        <v>0</v>
      </c>
      <c r="D23" s="291">
        <f t="shared" si="0"/>
        <v>1966.7291781577496</v>
      </c>
      <c r="E23" s="265"/>
      <c r="J23" s="265"/>
      <c r="K23" s="265"/>
      <c r="L23" s="265"/>
    </row>
    <row r="24" spans="1:12" x14ac:dyDescent="0.3">
      <c r="A24" s="277" t="s">
        <v>66</v>
      </c>
      <c r="B24" s="291">
        <f>($B$33-$B$28)*('ANNEXE 1 Grille'!C22/'ANNEXE 1 Grille'!C$47)</f>
        <v>568.69277440706014</v>
      </c>
      <c r="C24" s="312">
        <v>0</v>
      </c>
      <c r="D24" s="291">
        <f t="shared" si="0"/>
        <v>568.69277440706014</v>
      </c>
      <c r="E24" s="265"/>
      <c r="J24" s="265"/>
      <c r="K24" s="265"/>
      <c r="L24" s="265"/>
    </row>
    <row r="25" spans="1:12" x14ac:dyDescent="0.3">
      <c r="A25" s="277" t="s">
        <v>67</v>
      </c>
      <c r="B25" s="291">
        <f>($B$33-$B$28)*('ANNEXE 1 Grille'!C23/'ANNEXE 1 Grille'!C$47)</f>
        <v>3637.2642029784888</v>
      </c>
      <c r="C25" s="312">
        <v>0</v>
      </c>
      <c r="D25" s="291">
        <f t="shared" si="0"/>
        <v>3637.2642029784888</v>
      </c>
      <c r="E25" s="265"/>
      <c r="J25" s="265"/>
      <c r="K25" s="265"/>
      <c r="L25" s="265"/>
    </row>
    <row r="26" spans="1:12" x14ac:dyDescent="0.3">
      <c r="A26" s="277" t="s">
        <v>68</v>
      </c>
      <c r="B26" s="291">
        <f>($B$33-$B$28)*('ANNEXE 1 Grille'!C24/'ANNEXE 1 Grille'!C$47)</f>
        <v>7310.0717043574195</v>
      </c>
      <c r="C26" s="312">
        <v>0</v>
      </c>
      <c r="D26" s="291">
        <f t="shared" si="0"/>
        <v>7310.0717043574195</v>
      </c>
      <c r="E26" s="265"/>
      <c r="J26" s="265"/>
      <c r="K26" s="265"/>
      <c r="L26" s="265"/>
    </row>
    <row r="27" spans="1:12" x14ac:dyDescent="0.3">
      <c r="A27" s="277" t="s">
        <v>69</v>
      </c>
      <c r="B27" s="291">
        <f>($B$33-$B$28)*('ANNEXE 1 Grille'!C25/'ANNEXE 1 Grille'!C$47)</f>
        <v>9039.8455598455603</v>
      </c>
      <c r="C27" s="312">
        <v>0</v>
      </c>
      <c r="D27" s="291">
        <f t="shared" si="0"/>
        <v>9039.8455598455603</v>
      </c>
      <c r="E27" s="265"/>
      <c r="J27" s="265"/>
      <c r="K27" s="265"/>
      <c r="L27" s="265"/>
    </row>
    <row r="28" spans="1:12" x14ac:dyDescent="0.3">
      <c r="A28" s="281" t="s">
        <v>129</v>
      </c>
      <c r="B28" s="298">
        <f>B33*B39</f>
        <v>107400</v>
      </c>
      <c r="C28" s="286">
        <v>0</v>
      </c>
      <c r="D28" s="291">
        <f t="shared" si="0"/>
        <v>107400</v>
      </c>
      <c r="E28" s="265"/>
      <c r="J28" s="265"/>
      <c r="K28" s="265"/>
      <c r="L28" s="265"/>
    </row>
    <row r="29" spans="1:12" x14ac:dyDescent="0.3">
      <c r="A29" s="279" t="s">
        <v>72</v>
      </c>
      <c r="B29" s="293">
        <f t="shared" ref="B29" si="1">SUM(B7:B28)</f>
        <v>214800</v>
      </c>
      <c r="C29" s="279">
        <f>SUM(C7:C28)</f>
        <v>0</v>
      </c>
      <c r="D29" s="291">
        <f t="shared" si="0"/>
        <v>214800</v>
      </c>
      <c r="E29" s="265"/>
      <c r="J29" s="265"/>
      <c r="K29" s="265"/>
      <c r="L29" s="265"/>
    </row>
    <row r="30" spans="1:12" ht="28.8" x14ac:dyDescent="0.3">
      <c r="A30" s="272" t="s">
        <v>130</v>
      </c>
      <c r="B30" s="270">
        <f>B29-B28</f>
        <v>107400</v>
      </c>
      <c r="C30" s="270">
        <f>C29-C28</f>
        <v>0</v>
      </c>
      <c r="D30" s="270">
        <f>B29-B28</f>
        <v>107400</v>
      </c>
      <c r="E30" s="265"/>
      <c r="J30" s="265"/>
      <c r="K30" s="265"/>
      <c r="L30" s="265"/>
    </row>
    <row r="31" spans="1:12" x14ac:dyDescent="0.3">
      <c r="C31" s="265"/>
      <c r="E31" s="265"/>
      <c r="J31" s="265"/>
      <c r="K31" s="265"/>
      <c r="L31" s="265"/>
    </row>
    <row r="32" spans="1:12" x14ac:dyDescent="0.3">
      <c r="A32" s="281" t="s">
        <v>133</v>
      </c>
      <c r="B32" s="276" t="s">
        <v>39</v>
      </c>
      <c r="C32" s="265"/>
      <c r="D32" s="297" t="s">
        <v>283</v>
      </c>
      <c r="E32" s="266"/>
      <c r="F32" s="266"/>
      <c r="J32" s="265"/>
      <c r="K32" s="265"/>
      <c r="L32" s="265"/>
    </row>
    <row r="33" spans="1:13" x14ac:dyDescent="0.3">
      <c r="A33" s="282" t="s">
        <v>201</v>
      </c>
      <c r="B33" s="283">
        <f>B35*B37</f>
        <v>214800</v>
      </c>
      <c r="C33" s="265"/>
      <c r="D33" s="297" t="b">
        <f>B33=B29</f>
        <v>1</v>
      </c>
      <c r="E33" s="266"/>
      <c r="F33" s="266"/>
      <c r="J33" s="265"/>
      <c r="K33" s="265"/>
      <c r="L33" s="265"/>
    </row>
    <row r="34" spans="1:13" x14ac:dyDescent="0.3">
      <c r="A34" s="282" t="s">
        <v>202</v>
      </c>
      <c r="B34" s="283">
        <f>B33*1.2</f>
        <v>257760</v>
      </c>
      <c r="C34" s="265"/>
      <c r="D34" s="297"/>
      <c r="E34" s="266"/>
      <c r="F34" s="266"/>
      <c r="J34" s="265"/>
      <c r="K34" s="265"/>
      <c r="L34" s="265"/>
    </row>
    <row r="35" spans="1:13" x14ac:dyDescent="0.3">
      <c r="A35" s="282" t="s">
        <v>204</v>
      </c>
      <c r="B35" s="283">
        <v>210000</v>
      </c>
      <c r="C35" s="265"/>
      <c r="D35" s="297"/>
      <c r="E35" s="266"/>
      <c r="F35" s="266"/>
      <c r="J35" s="265"/>
      <c r="K35" s="265"/>
      <c r="L35" s="265"/>
    </row>
    <row r="36" spans="1:13" x14ac:dyDescent="0.3">
      <c r="A36" s="282" t="s">
        <v>205</v>
      </c>
      <c r="B36" s="283">
        <f>B35*1.2</f>
        <v>252000</v>
      </c>
      <c r="C36" s="266"/>
      <c r="D36" s="297"/>
      <c r="E36" s="266"/>
      <c r="J36" s="265"/>
      <c r="K36" s="265"/>
      <c r="L36" s="265"/>
    </row>
    <row r="37" spans="1:13" x14ac:dyDescent="0.3">
      <c r="A37" s="282" t="s">
        <v>285</v>
      </c>
      <c r="B37" s="271">
        <f>'Indice Syntec'!C9</f>
        <v>1.0228571428571429</v>
      </c>
      <c r="C37" s="266"/>
      <c r="D37" s="297" t="s">
        <v>268</v>
      </c>
      <c r="E37" s="266"/>
      <c r="J37" s="265"/>
      <c r="K37" s="265"/>
      <c r="L37" s="265"/>
    </row>
    <row r="38" spans="1:13" x14ac:dyDescent="0.3">
      <c r="C38" s="265"/>
      <c r="E38" s="265"/>
      <c r="J38" s="265"/>
      <c r="K38" s="265"/>
      <c r="L38" s="265"/>
    </row>
    <row r="39" spans="1:13" x14ac:dyDescent="0.3">
      <c r="A39" s="282" t="s">
        <v>269</v>
      </c>
      <c r="B39" s="274">
        <v>0.5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</row>
    <row r="40" spans="1:13" x14ac:dyDescent="0.3">
      <c r="A40" s="282" t="s">
        <v>270</v>
      </c>
      <c r="B40" s="274">
        <f>1-B39</f>
        <v>0.5</v>
      </c>
      <c r="C40" s="265"/>
      <c r="D40" s="266"/>
      <c r="E40" s="265"/>
      <c r="H40" s="266"/>
      <c r="J40" s="265"/>
      <c r="K40" s="266"/>
      <c r="L40" s="265"/>
    </row>
    <row r="41" spans="1:13" x14ac:dyDescent="0.3">
      <c r="C41" s="265"/>
      <c r="D41" s="266"/>
      <c r="E41" s="265"/>
      <c r="H41" s="266"/>
      <c r="J41" s="265"/>
      <c r="K41" s="266"/>
      <c r="L41" s="265"/>
    </row>
    <row r="42" spans="1:13" x14ac:dyDescent="0.3"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</row>
    <row r="43" spans="1:13" x14ac:dyDescent="0.3"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</row>
    <row r="44" spans="1:13" x14ac:dyDescent="0.3"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</row>
    <row r="45" spans="1:13" x14ac:dyDescent="0.3"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</row>
    <row r="46" spans="1:13" x14ac:dyDescent="0.3">
      <c r="C46" s="265"/>
      <c r="D46" s="266"/>
      <c r="E46" s="265"/>
      <c r="H46" s="266"/>
      <c r="J46" s="265"/>
      <c r="K46" s="266"/>
      <c r="L46" s="265"/>
    </row>
    <row r="47" spans="1:13" x14ac:dyDescent="0.3">
      <c r="C47" s="265"/>
      <c r="D47" s="266"/>
      <c r="E47" s="265"/>
      <c r="H47" s="266"/>
      <c r="J47" s="265"/>
      <c r="K47" s="266"/>
      <c r="L47" s="265"/>
    </row>
    <row r="48" spans="1:13" x14ac:dyDescent="0.3"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</row>
    <row r="49" spans="3:13" x14ac:dyDescent="0.3"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</row>
    <row r="50" spans="3:13" x14ac:dyDescent="0.3"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</row>
    <row r="51" spans="3:13" x14ac:dyDescent="0.3"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</row>
    <row r="52" spans="3:13" x14ac:dyDescent="0.3">
      <c r="C52" s="265"/>
      <c r="D52" s="266"/>
      <c r="E52" s="265"/>
      <c r="H52" s="266"/>
      <c r="J52" s="265"/>
      <c r="K52" s="266"/>
      <c r="L52" s="265"/>
    </row>
    <row r="53" spans="3:13" x14ac:dyDescent="0.3">
      <c r="C53" s="265"/>
      <c r="D53" s="266"/>
      <c r="E53" s="265"/>
      <c r="H53" s="266"/>
      <c r="J53" s="265"/>
      <c r="K53" s="266"/>
      <c r="L53" s="265"/>
    </row>
    <row r="54" spans="3:13" x14ac:dyDescent="0.3"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</row>
    <row r="55" spans="3:13" x14ac:dyDescent="0.3"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</row>
    <row r="56" spans="3:13" x14ac:dyDescent="0.3"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</row>
    <row r="57" spans="3:13" x14ac:dyDescent="0.3"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</row>
    <row r="58" spans="3:13" x14ac:dyDescent="0.3">
      <c r="C58" s="265"/>
      <c r="D58" s="266"/>
      <c r="E58" s="265"/>
      <c r="H58" s="266"/>
      <c r="J58" s="265"/>
      <c r="K58" s="266"/>
      <c r="L58" s="265"/>
    </row>
    <row r="59" spans="3:13" x14ac:dyDescent="0.3">
      <c r="C59" s="265"/>
      <c r="D59" s="266"/>
      <c r="E59" s="265"/>
      <c r="H59" s="266"/>
      <c r="J59" s="265"/>
      <c r="K59" s="266"/>
      <c r="L59" s="265"/>
    </row>
    <row r="60" spans="3:13" x14ac:dyDescent="0.3"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</row>
    <row r="61" spans="3:13" x14ac:dyDescent="0.3"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</row>
    <row r="62" spans="3:13" x14ac:dyDescent="0.3"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</row>
    <row r="63" spans="3:13" x14ac:dyDescent="0.3"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</row>
    <row r="64" spans="3:13" x14ac:dyDescent="0.3">
      <c r="C64" s="265"/>
      <c r="D64" s="266"/>
      <c r="E64" s="265"/>
      <c r="H64" s="266"/>
      <c r="J64" s="265"/>
      <c r="K64" s="266"/>
      <c r="L64" s="265"/>
    </row>
    <row r="65" spans="3:13" x14ac:dyDescent="0.3">
      <c r="C65" s="265"/>
      <c r="D65" s="266"/>
      <c r="E65" s="265"/>
      <c r="H65" s="266"/>
      <c r="J65" s="265"/>
      <c r="K65" s="266"/>
      <c r="L65" s="265"/>
    </row>
    <row r="66" spans="3:13" x14ac:dyDescent="0.3"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</row>
    <row r="67" spans="3:13" x14ac:dyDescent="0.3"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</row>
    <row r="68" spans="3:13" x14ac:dyDescent="0.3"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3:13" x14ac:dyDescent="0.3"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3:13" x14ac:dyDescent="0.3">
      <c r="C70" s="265"/>
      <c r="D70" s="266"/>
      <c r="E70" s="265"/>
      <c r="H70" s="266"/>
      <c r="J70" s="265"/>
      <c r="K70" s="266"/>
      <c r="L70" s="265"/>
    </row>
    <row r="71" spans="3:13" x14ac:dyDescent="0.3">
      <c r="C71" s="265"/>
      <c r="D71" s="266"/>
      <c r="E71" s="265"/>
      <c r="H71" s="266"/>
      <c r="J71" s="265"/>
      <c r="K71" s="266"/>
      <c r="L71" s="265"/>
    </row>
    <row r="72" spans="3:13" x14ac:dyDescent="0.3"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</row>
    <row r="73" spans="3:13" x14ac:dyDescent="0.3"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</row>
    <row r="74" spans="3:13" x14ac:dyDescent="0.3"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</row>
    <row r="75" spans="3:13" x14ac:dyDescent="0.3"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</row>
    <row r="76" spans="3:13" x14ac:dyDescent="0.3">
      <c r="C76" s="265"/>
      <c r="D76" s="266"/>
      <c r="E76" s="265"/>
      <c r="H76" s="266"/>
      <c r="J76" s="265"/>
      <c r="K76" s="266"/>
      <c r="L76" s="265"/>
    </row>
    <row r="77" spans="3:13" x14ac:dyDescent="0.3">
      <c r="C77" s="265"/>
      <c r="D77" s="266"/>
      <c r="E77" s="265"/>
      <c r="H77" s="266"/>
      <c r="J77" s="265"/>
      <c r="K77" s="266"/>
      <c r="L77" s="265"/>
    </row>
    <row r="78" spans="3:13" x14ac:dyDescent="0.3"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</row>
    <row r="79" spans="3:13" x14ac:dyDescent="0.3"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</row>
    <row r="80" spans="3:13" x14ac:dyDescent="0.3"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</row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E41"/>
  <sheetViews>
    <sheetView topLeftCell="A7" workbookViewId="0">
      <selection activeCell="B7" sqref="B7"/>
    </sheetView>
  </sheetViews>
  <sheetFormatPr baseColWidth="10" defaultColWidth="9.109375" defaultRowHeight="14.4" x14ac:dyDescent="0.3"/>
  <cols>
    <col min="1" max="1" width="27.33203125" style="265" customWidth="1"/>
    <col min="2" max="2" width="20" style="265" customWidth="1"/>
    <col min="3" max="3" width="14" style="265" bestFit="1" customWidth="1"/>
    <col min="4" max="16384" width="9.109375" style="265"/>
  </cols>
  <sheetData>
    <row r="1" spans="1:4" x14ac:dyDescent="0.3">
      <c r="A1" s="264" t="s">
        <v>134</v>
      </c>
    </row>
    <row r="2" spans="1:4" x14ac:dyDescent="0.3">
      <c r="A2" s="266"/>
      <c r="B2" s="266"/>
      <c r="C2" s="266"/>
      <c r="D2" s="266"/>
    </row>
    <row r="3" spans="1:4" ht="15" customHeight="1" x14ac:dyDescent="0.3">
      <c r="A3" s="460" t="s">
        <v>40</v>
      </c>
      <c r="B3" s="276" t="s">
        <v>135</v>
      </c>
    </row>
    <row r="4" spans="1:4" ht="15" customHeight="1" x14ac:dyDescent="0.3">
      <c r="A4" s="460"/>
      <c r="B4" s="276">
        <v>2023</v>
      </c>
    </row>
    <row r="5" spans="1:4" ht="45" customHeight="1" x14ac:dyDescent="0.3">
      <c r="A5" s="460"/>
      <c r="B5" s="276"/>
    </row>
    <row r="6" spans="1:4" x14ac:dyDescent="0.3">
      <c r="A6" s="460"/>
      <c r="B6" s="276" t="s">
        <v>39</v>
      </c>
    </row>
    <row r="7" spans="1:4" x14ac:dyDescent="0.3">
      <c r="A7" s="277" t="s">
        <v>49</v>
      </c>
      <c r="B7" s="268">
        <f>($B$34-$B$28)*('ANNEXE 1 Grille'!C5/'ANNEXE 1 Grille'!C$45)</f>
        <v>2048.6264953478067</v>
      </c>
    </row>
    <row r="8" spans="1:4" x14ac:dyDescent="0.3">
      <c r="A8" s="278" t="s">
        <v>50</v>
      </c>
      <c r="B8" s="269"/>
    </row>
    <row r="9" spans="1:4" ht="15" customHeight="1" x14ac:dyDescent="0.3">
      <c r="A9" s="277" t="s">
        <v>51</v>
      </c>
      <c r="B9" s="268">
        <f>($B$34-$B$28)*('ANNEXE 1 Grille'!C7/'ANNEXE 1 Grille'!C$45)</f>
        <v>1290.983606557377</v>
      </c>
    </row>
    <row r="10" spans="1:4" ht="15" customHeight="1" x14ac:dyDescent="0.3">
      <c r="A10" s="277" t="s">
        <v>52</v>
      </c>
      <c r="B10" s="268">
        <f>($B$34-$B$28)*('ANNEXE 1 Grille'!C8/'ANNEXE 1 Grille'!C$45)</f>
        <v>662.93752769162597</v>
      </c>
    </row>
    <row r="11" spans="1:4" x14ac:dyDescent="0.3">
      <c r="A11" s="277" t="s">
        <v>53</v>
      </c>
      <c r="B11" s="268">
        <f>($B$34-$B$28)*('ANNEXE 1 Grille'!C9/'ANNEXE 1 Grille'!C$45)</f>
        <v>7043.088170137351</v>
      </c>
    </row>
    <row r="12" spans="1:4" x14ac:dyDescent="0.3">
      <c r="A12" s="277" t="s">
        <v>54</v>
      </c>
      <c r="B12" s="268">
        <f>($B$34-$B$28)*('ANNEXE 1 Grille'!C10/'ANNEXE 1 Grille'!C$45)</f>
        <v>4167.0358883473637</v>
      </c>
    </row>
    <row r="13" spans="1:4" ht="15" customHeight="1" x14ac:dyDescent="0.3">
      <c r="A13" s="277" t="s">
        <v>55</v>
      </c>
      <c r="B13" s="268">
        <f>($B$34-$B$28)*('ANNEXE 1 Grille'!C11/'ANNEXE 1 Grille'!C$45)</f>
        <v>204.36420026583963</v>
      </c>
    </row>
    <row r="14" spans="1:4" ht="15" customHeight="1" x14ac:dyDescent="0.3">
      <c r="A14" s="277" t="s">
        <v>56</v>
      </c>
      <c r="B14" s="268">
        <f>($B$34-$B$28)*('ANNEXE 1 Grille'!C12/'ANNEXE 1 Grille'!C$45)</f>
        <v>1161.3867966326984</v>
      </c>
    </row>
    <row r="15" spans="1:4" ht="15" customHeight="1" x14ac:dyDescent="0.3">
      <c r="A15" s="277" t="s">
        <v>57</v>
      </c>
      <c r="B15" s="268">
        <f>($B$34-$B$28)*('ANNEXE 1 Grille'!C13/'ANNEXE 1 Grille'!C$45)</f>
        <v>7332.1887461231727</v>
      </c>
    </row>
    <row r="16" spans="1:4" x14ac:dyDescent="0.3">
      <c r="A16" s="277" t="s">
        <v>58</v>
      </c>
      <c r="B16" s="268">
        <f>($B$34-$B$28)*('ANNEXE 1 Grille'!C14/'ANNEXE 1 Grille'!C$45)</f>
        <v>423.68187859991139</v>
      </c>
    </row>
    <row r="17" spans="1:5" x14ac:dyDescent="0.3">
      <c r="A17" s="277" t="s">
        <v>59</v>
      </c>
      <c r="B17" s="268">
        <f>($B$34-$B$28)*('ANNEXE 1 Grille'!C15/'ANNEXE 1 Grille'!C$45)</f>
        <v>1031.7899867080193</v>
      </c>
    </row>
    <row r="18" spans="1:5" x14ac:dyDescent="0.3">
      <c r="A18" s="277" t="s">
        <v>60</v>
      </c>
      <c r="B18" s="268">
        <f>($B$34-$B$28)*('ANNEXE 1 Grille'!C16/'ANNEXE 1 Grille'!C$45)</f>
        <v>144.55028799291094</v>
      </c>
    </row>
    <row r="19" spans="1:5" x14ac:dyDescent="0.3">
      <c r="A19" s="277" t="s">
        <v>61</v>
      </c>
      <c r="B19" s="268">
        <f>($B$34-$B$28)*('ANNEXE 1 Grille'!C17/'ANNEXE 1 Grille'!C$45)</f>
        <v>3190.0753212228619</v>
      </c>
    </row>
    <row r="20" spans="1:5" x14ac:dyDescent="0.3">
      <c r="A20" s="277" t="s">
        <v>62</v>
      </c>
      <c r="B20" s="268">
        <f>($B$34-$B$28)*('ANNEXE 1 Grille'!C18/'ANNEXE 1 Grille'!C$45)</f>
        <v>4655.5161719096141</v>
      </c>
    </row>
    <row r="21" spans="1:5" x14ac:dyDescent="0.3">
      <c r="A21" s="278" t="s">
        <v>63</v>
      </c>
      <c r="B21" s="269"/>
      <c r="D21" s="289"/>
    </row>
    <row r="22" spans="1:5" x14ac:dyDescent="0.3">
      <c r="A22" s="277" t="s">
        <v>64</v>
      </c>
      <c r="B22" s="268">
        <f>($B$34-$B$28)*('ANNEXE 1 Grille'!C20/'ANNEXE 1 Grille'!C$45)</f>
        <v>2168.2543198936637</v>
      </c>
    </row>
    <row r="23" spans="1:5" x14ac:dyDescent="0.3">
      <c r="A23" s="277" t="s">
        <v>65</v>
      </c>
      <c r="B23" s="268">
        <f>($B$34-$B$28)*('ANNEXE 1 Grille'!C21/'ANNEXE 1 Grille'!C$45)</f>
        <v>827.42578644217974</v>
      </c>
    </row>
    <row r="24" spans="1:5" x14ac:dyDescent="0.3">
      <c r="A24" s="277" t="s">
        <v>66</v>
      </c>
      <c r="B24" s="268">
        <f>($B$34-$B$28)*('ANNEXE 1 Grille'!C22/'ANNEXE 1 Grille'!C$45)</f>
        <v>239.25564909171464</v>
      </c>
    </row>
    <row r="25" spans="1:5" x14ac:dyDescent="0.3">
      <c r="A25" s="277" t="s">
        <v>67</v>
      </c>
      <c r="B25" s="268">
        <f>($B$34-$B$28)*('ANNEXE 1 Grille'!C23/'ANNEXE 1 Grille'!C$45)</f>
        <v>1530.2392556490918</v>
      </c>
    </row>
    <row r="26" spans="1:5" x14ac:dyDescent="0.3">
      <c r="A26" s="277" t="s">
        <v>68</v>
      </c>
      <c r="B26" s="268">
        <f>($B$34-$B$28)*('ANNEXE 1 Grille'!C24/'ANNEXE 1 Grille'!C$45)</f>
        <v>3075.4319893664151</v>
      </c>
    </row>
    <row r="27" spans="1:5" x14ac:dyDescent="0.3">
      <c r="A27" s="277" t="s">
        <v>69</v>
      </c>
      <c r="B27" s="268">
        <f>($B$34-$B$28)*('ANNEXE 1 Grille'!C25/'ANNEXE 1 Grille'!C$45)</f>
        <v>3803.167922020381</v>
      </c>
    </row>
    <row r="28" spans="1:5" x14ac:dyDescent="0.3">
      <c r="A28" s="281" t="s">
        <v>129</v>
      </c>
      <c r="B28" s="286">
        <f>0.5*B34</f>
        <v>45000</v>
      </c>
    </row>
    <row r="29" spans="1:5" s="302" customFormat="1" ht="14.25" customHeight="1" x14ac:dyDescent="0.3">
      <c r="A29" s="279" t="s">
        <v>72</v>
      </c>
      <c r="B29" s="279">
        <f>SUM(B7:B28)</f>
        <v>90000</v>
      </c>
    </row>
    <row r="30" spans="1:5" ht="28.8" x14ac:dyDescent="0.3">
      <c r="A30" s="272" t="s">
        <v>130</v>
      </c>
      <c r="B30" s="270">
        <f>B29-B28</f>
        <v>45000</v>
      </c>
      <c r="D30" s="302"/>
      <c r="E30" s="302"/>
    </row>
    <row r="31" spans="1:5" ht="35.25" customHeight="1" x14ac:dyDescent="0.3">
      <c r="A31" s="280"/>
      <c r="B31" s="280"/>
    </row>
    <row r="32" spans="1:5" ht="29.25" customHeight="1" x14ac:dyDescent="0.3">
      <c r="A32" s="280"/>
      <c r="B32" s="280"/>
    </row>
    <row r="33" spans="1:3" ht="15" customHeight="1" x14ac:dyDescent="0.3">
      <c r="A33" s="281" t="s">
        <v>136</v>
      </c>
      <c r="B33" s="276" t="s">
        <v>39</v>
      </c>
      <c r="C33" s="297" t="s">
        <v>283</v>
      </c>
    </row>
    <row r="34" spans="1:3" ht="33" customHeight="1" x14ac:dyDescent="0.3">
      <c r="A34" s="309" t="s">
        <v>203</v>
      </c>
      <c r="B34" s="284">
        <f>B36*B38</f>
        <v>90000</v>
      </c>
      <c r="C34" s="297" t="b">
        <f>B34=B29</f>
        <v>1</v>
      </c>
    </row>
    <row r="35" spans="1:3" ht="15" customHeight="1" x14ac:dyDescent="0.3">
      <c r="A35" s="282" t="s">
        <v>202</v>
      </c>
      <c r="B35" s="284">
        <f>B34*1.2</f>
        <v>108000</v>
      </c>
      <c r="C35" s="297"/>
    </row>
    <row r="36" spans="1:3" ht="15" customHeight="1" x14ac:dyDescent="0.3">
      <c r="A36" s="282" t="s">
        <v>204</v>
      </c>
      <c r="B36" s="294">
        <v>90000</v>
      </c>
      <c r="C36" s="297" t="s">
        <v>291</v>
      </c>
    </row>
    <row r="37" spans="1:3" x14ac:dyDescent="0.3">
      <c r="A37" s="282" t="s">
        <v>205</v>
      </c>
      <c r="B37" s="284">
        <f>B36*1.2</f>
        <v>108000</v>
      </c>
      <c r="C37" s="297"/>
    </row>
    <row r="38" spans="1:3" x14ac:dyDescent="0.3">
      <c r="A38" s="282" t="s">
        <v>285</v>
      </c>
      <c r="B38" s="307">
        <v>1</v>
      </c>
      <c r="C38" s="297" t="s">
        <v>268</v>
      </c>
    </row>
    <row r="40" spans="1:3" x14ac:dyDescent="0.3">
      <c r="A40" s="282" t="s">
        <v>269</v>
      </c>
      <c r="B40" s="274">
        <v>0.5</v>
      </c>
    </row>
    <row r="41" spans="1:3" x14ac:dyDescent="0.3">
      <c r="A41" s="282" t="s">
        <v>270</v>
      </c>
      <c r="B41" s="274">
        <f>1-B40</f>
        <v>0.5</v>
      </c>
    </row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7E19-3A52-455D-93A9-B15124BD7A09}">
  <sheetPr>
    <tabColor theme="5"/>
  </sheetPr>
  <dimension ref="A1:E44"/>
  <sheetViews>
    <sheetView workbookViewId="0">
      <selection activeCell="B7" sqref="B7"/>
    </sheetView>
  </sheetViews>
  <sheetFormatPr baseColWidth="10" defaultColWidth="9.109375" defaultRowHeight="14.4" x14ac:dyDescent="0.3"/>
  <cols>
    <col min="1" max="1" width="47.88671875" style="65" bestFit="1" customWidth="1"/>
    <col min="2" max="2" width="23.33203125" style="65" customWidth="1"/>
    <col min="3" max="3" width="14.44140625" style="65" customWidth="1"/>
    <col min="4" max="16384" width="9.109375" style="65"/>
  </cols>
  <sheetData>
    <row r="1" spans="1:4" x14ac:dyDescent="0.3">
      <c r="A1" s="110" t="s">
        <v>290</v>
      </c>
    </row>
    <row r="2" spans="1:4" x14ac:dyDescent="0.3">
      <c r="A2" s="66"/>
      <c r="B2" s="66"/>
      <c r="C2" s="66"/>
      <c r="D2" s="66"/>
    </row>
    <row r="3" spans="1:4" x14ac:dyDescent="0.3">
      <c r="A3" s="461" t="s">
        <v>40</v>
      </c>
      <c r="B3" s="114" t="s">
        <v>11</v>
      </c>
    </row>
    <row r="4" spans="1:4" x14ac:dyDescent="0.3">
      <c r="A4" s="461"/>
      <c r="B4" s="114">
        <v>2023</v>
      </c>
    </row>
    <row r="5" spans="1:4" x14ac:dyDescent="0.3">
      <c r="A5" s="461"/>
      <c r="B5" s="114"/>
    </row>
    <row r="6" spans="1:4" x14ac:dyDescent="0.3">
      <c r="A6" s="461"/>
      <c r="B6" s="114" t="s">
        <v>39</v>
      </c>
    </row>
    <row r="7" spans="1:4" x14ac:dyDescent="0.3">
      <c r="A7" s="98" t="s">
        <v>49</v>
      </c>
      <c r="B7" s="123">
        <f>($B$40)*('ANNEXE 1 Grille'!C5/'ANNEXE 1 Grille'!C$46)</f>
        <v>0</v>
      </c>
    </row>
    <row r="8" spans="1:4" x14ac:dyDescent="0.3">
      <c r="A8" s="103" t="s">
        <v>50</v>
      </c>
      <c r="B8" s="123"/>
    </row>
    <row r="9" spans="1:4" x14ac:dyDescent="0.3">
      <c r="A9" s="98" t="s">
        <v>51</v>
      </c>
      <c r="B9" s="123">
        <f>($B$40)*('ANNEXE 1 Grille'!C7/'ANNEXE 1 Grille'!C$46)</f>
        <v>0</v>
      </c>
    </row>
    <row r="10" spans="1:4" x14ac:dyDescent="0.3">
      <c r="A10" s="98" t="s">
        <v>52</v>
      </c>
      <c r="B10" s="123">
        <f>($B$40)*('ANNEXE 1 Grille'!C8/'ANNEXE 1 Grille'!C$46)</f>
        <v>0</v>
      </c>
    </row>
    <row r="11" spans="1:4" x14ac:dyDescent="0.3">
      <c r="A11" s="98" t="s">
        <v>53</v>
      </c>
      <c r="B11" s="123">
        <f>($B$40)*('ANNEXE 1 Grille'!C9/'ANNEXE 1 Grille'!C$46)</f>
        <v>0</v>
      </c>
    </row>
    <row r="12" spans="1:4" x14ac:dyDescent="0.3">
      <c r="A12" s="98" t="s">
        <v>54</v>
      </c>
      <c r="B12" s="123">
        <f>($B$40)*('ANNEXE 1 Grille'!C10/'ANNEXE 1 Grille'!C$46)</f>
        <v>0</v>
      </c>
    </row>
    <row r="13" spans="1:4" x14ac:dyDescent="0.3">
      <c r="A13" s="98" t="s">
        <v>55</v>
      </c>
      <c r="B13" s="123">
        <f>($B$40)*('ANNEXE 1 Grille'!C11/'ANNEXE 1 Grille'!C$46)</f>
        <v>0</v>
      </c>
    </row>
    <row r="14" spans="1:4" x14ac:dyDescent="0.3">
      <c r="A14" s="98" t="s">
        <v>56</v>
      </c>
      <c r="B14" s="123">
        <f>($B$40)*('ANNEXE 1 Grille'!C12/'ANNEXE 1 Grille'!C$46)</f>
        <v>0</v>
      </c>
    </row>
    <row r="15" spans="1:4" x14ac:dyDescent="0.3">
      <c r="A15" s="98" t="s">
        <v>57</v>
      </c>
      <c r="B15" s="123">
        <f>($B$40)*('ANNEXE 1 Grille'!C13/'ANNEXE 1 Grille'!C$46)</f>
        <v>0</v>
      </c>
    </row>
    <row r="16" spans="1:4" x14ac:dyDescent="0.3">
      <c r="A16" s="98" t="s">
        <v>58</v>
      </c>
      <c r="B16" s="123">
        <f>($B$40)*('ANNEXE 1 Grille'!C14/'ANNEXE 1 Grille'!C$46)</f>
        <v>0</v>
      </c>
    </row>
    <row r="17" spans="1:5" x14ac:dyDescent="0.3">
      <c r="A17" s="98" t="s">
        <v>59</v>
      </c>
      <c r="B17" s="123">
        <f>($B$40)*('ANNEXE 1 Grille'!C15/'ANNEXE 1 Grille'!C$46)</f>
        <v>0</v>
      </c>
    </row>
    <row r="18" spans="1:5" x14ac:dyDescent="0.3">
      <c r="A18" s="98" t="s">
        <v>60</v>
      </c>
      <c r="B18" s="123">
        <f>($B$40)*('ANNEXE 1 Grille'!C16/'ANNEXE 1 Grille'!C$46)</f>
        <v>0</v>
      </c>
    </row>
    <row r="19" spans="1:5" x14ac:dyDescent="0.3">
      <c r="A19" s="98" t="s">
        <v>61</v>
      </c>
      <c r="B19" s="123">
        <f>($B$40)*('ANNEXE 1 Grille'!C17/'ANNEXE 1 Grille'!C$46)</f>
        <v>0</v>
      </c>
    </row>
    <row r="20" spans="1:5" x14ac:dyDescent="0.3">
      <c r="A20" s="98" t="s">
        <v>62</v>
      </c>
      <c r="B20" s="123">
        <f>($B$40)*('ANNEXE 1 Grille'!C18/'ANNEXE 1 Grille'!C$46)</f>
        <v>0</v>
      </c>
    </row>
    <row r="21" spans="1:5" x14ac:dyDescent="0.3">
      <c r="A21" s="98" t="s">
        <v>63</v>
      </c>
      <c r="B21" s="123">
        <f>($B$40)*('ANNEXE 1 Grille'!C19/'ANNEXE 1 Grille'!C$46)</f>
        <v>0</v>
      </c>
      <c r="D21" s="80"/>
    </row>
    <row r="22" spans="1:5" x14ac:dyDescent="0.3">
      <c r="A22" s="98" t="s">
        <v>64</v>
      </c>
      <c r="B22" s="123">
        <f>($B$40)*('ANNEXE 1 Grille'!C20/'ANNEXE 1 Grille'!C$46)</f>
        <v>0</v>
      </c>
    </row>
    <row r="23" spans="1:5" x14ac:dyDescent="0.3">
      <c r="A23" s="98" t="s">
        <v>65</v>
      </c>
      <c r="B23" s="123">
        <f>($B$40)*('ANNEXE 1 Grille'!C21/'ANNEXE 1 Grille'!C$46)</f>
        <v>0</v>
      </c>
    </row>
    <row r="24" spans="1:5" x14ac:dyDescent="0.3">
      <c r="A24" s="98" t="s">
        <v>66</v>
      </c>
      <c r="B24" s="123">
        <f>($B$40)*('ANNEXE 1 Grille'!C22/'ANNEXE 1 Grille'!C$46)</f>
        <v>0</v>
      </c>
    </row>
    <row r="25" spans="1:5" x14ac:dyDescent="0.3">
      <c r="A25" s="98" t="s">
        <v>67</v>
      </c>
      <c r="B25" s="123">
        <f>($B$40)*('ANNEXE 1 Grille'!C23/'ANNEXE 1 Grille'!C$46)</f>
        <v>0</v>
      </c>
    </row>
    <row r="26" spans="1:5" x14ac:dyDescent="0.3">
      <c r="A26" s="98" t="s">
        <v>68</v>
      </c>
      <c r="B26" s="123">
        <f>($B$40)*('ANNEXE 1 Grille'!C24/'ANNEXE 1 Grille'!C$46)</f>
        <v>0</v>
      </c>
    </row>
    <row r="27" spans="1:5" x14ac:dyDescent="0.3">
      <c r="A27" s="98" t="s">
        <v>69</v>
      </c>
      <c r="B27" s="123">
        <f>($B$40)*('ANNEXE 1 Grille'!C25/'ANNEXE 1 Grille'!C$46)</f>
        <v>0</v>
      </c>
      <c r="C27" s="78"/>
    </row>
    <row r="28" spans="1:5" x14ac:dyDescent="0.3">
      <c r="A28" s="108" t="s">
        <v>129</v>
      </c>
      <c r="B28" s="86">
        <f>0.5*B35</f>
        <v>0</v>
      </c>
    </row>
    <row r="29" spans="1:5" s="81" customFormat="1" ht="12" x14ac:dyDescent="0.25">
      <c r="A29" s="86" t="s">
        <v>72</v>
      </c>
      <c r="B29" s="86">
        <f>SUM(B7:B28)</f>
        <v>0</v>
      </c>
    </row>
    <row r="30" spans="1:5" x14ac:dyDescent="0.3">
      <c r="A30" s="87" t="s">
        <v>195</v>
      </c>
      <c r="B30" s="106">
        <f>B29-B28</f>
        <v>0</v>
      </c>
      <c r="D30" s="77"/>
      <c r="E30" s="77"/>
    </row>
    <row r="31" spans="1:5" x14ac:dyDescent="0.3">
      <c r="A31" s="87" t="s">
        <v>196</v>
      </c>
      <c r="B31" s="106">
        <v>0</v>
      </c>
    </row>
    <row r="32" spans="1:5" x14ac:dyDescent="0.3">
      <c r="A32" s="87" t="s">
        <v>197</v>
      </c>
      <c r="B32" s="106">
        <f>B30+B31+B28</f>
        <v>0</v>
      </c>
    </row>
    <row r="33" spans="1:3" x14ac:dyDescent="0.3">
      <c r="A33" s="88"/>
      <c r="B33" s="88"/>
    </row>
    <row r="34" spans="1:3" x14ac:dyDescent="0.3">
      <c r="A34" s="108" t="s">
        <v>137</v>
      </c>
      <c r="B34" s="114" t="s">
        <v>39</v>
      </c>
      <c r="C34" s="297" t="s">
        <v>283</v>
      </c>
    </row>
    <row r="35" spans="1:3" x14ac:dyDescent="0.3">
      <c r="A35" s="84" t="s">
        <v>201</v>
      </c>
      <c r="B35" s="85">
        <v>0</v>
      </c>
      <c r="C35" s="297" t="b">
        <f>B35=B29</f>
        <v>1</v>
      </c>
    </row>
    <row r="36" spans="1:3" x14ac:dyDescent="0.3">
      <c r="A36" s="84" t="s">
        <v>202</v>
      </c>
      <c r="B36" s="85">
        <f>B35*1.2</f>
        <v>0</v>
      </c>
      <c r="C36" s="297"/>
    </row>
    <row r="37" spans="1:3" x14ac:dyDescent="0.3">
      <c r="A37" s="84"/>
      <c r="B37" s="85"/>
      <c r="C37" s="297"/>
    </row>
    <row r="38" spans="1:3" x14ac:dyDescent="0.3">
      <c r="A38" s="84"/>
      <c r="B38" s="85"/>
      <c r="C38" s="297"/>
    </row>
    <row r="39" spans="1:3" x14ac:dyDescent="0.3">
      <c r="A39" s="84"/>
      <c r="B39" s="90"/>
      <c r="C39" s="297" t="s">
        <v>268</v>
      </c>
    </row>
    <row r="40" spans="1:3" x14ac:dyDescent="0.3">
      <c r="A40" s="118" t="s">
        <v>190</v>
      </c>
      <c r="B40" s="85">
        <v>0</v>
      </c>
    </row>
    <row r="41" spans="1:3" x14ac:dyDescent="0.3">
      <c r="A41" s="119" t="s">
        <v>191</v>
      </c>
      <c r="B41" s="120">
        <f>B35+B40</f>
        <v>0</v>
      </c>
    </row>
    <row r="43" spans="1:3" x14ac:dyDescent="0.3">
      <c r="A43" s="282" t="s">
        <v>269</v>
      </c>
      <c r="B43" s="308"/>
    </row>
    <row r="44" spans="1:3" x14ac:dyDescent="0.3">
      <c r="A44" s="282" t="s">
        <v>270</v>
      </c>
      <c r="B44" s="274">
        <f>1-B43</f>
        <v>1</v>
      </c>
    </row>
  </sheetData>
  <mergeCells count="1">
    <mergeCell ref="A3:A6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4</vt:i4>
      </vt:variant>
    </vt:vector>
  </HeadingPairs>
  <TitlesOfParts>
    <vt:vector size="30" baseType="lpstr">
      <vt:lpstr>BUDGET ETUDES CNIV</vt:lpstr>
      <vt:lpstr>Facturation CNIV</vt:lpstr>
      <vt:lpstr>COUT PAR IP DES OUTILS</vt:lpstr>
      <vt:lpstr>Feuil1</vt:lpstr>
      <vt:lpstr>IRI FR VT</vt:lpstr>
      <vt:lpstr>IRI FR EFF</vt:lpstr>
      <vt:lpstr>KANTAR</vt:lpstr>
      <vt:lpstr>Panel CHR</vt:lpstr>
      <vt:lpstr>RO CHR</vt:lpstr>
      <vt:lpstr>RO e-commerce</vt:lpstr>
      <vt:lpstr>RO Cavistes</vt:lpstr>
      <vt:lpstr>Etude quinquennale </vt:lpstr>
      <vt:lpstr>IRI UK VT</vt:lpstr>
      <vt:lpstr>IRI UK VE</vt:lpstr>
      <vt:lpstr>IRI All</vt:lpstr>
      <vt:lpstr>IRI PB</vt:lpstr>
      <vt:lpstr>GfK BE</vt:lpstr>
      <vt:lpstr>GTI</vt:lpstr>
      <vt:lpstr>AGREX All</vt:lpstr>
      <vt:lpstr>DETAIL MONOPOLES</vt:lpstr>
      <vt:lpstr>Etude USA</vt:lpstr>
      <vt:lpstr>WINE INTELLIGENCE</vt:lpstr>
      <vt:lpstr>OUTIL RO</vt:lpstr>
      <vt:lpstr>CAVISTES</vt:lpstr>
      <vt:lpstr>ANNEXE 1 Grille</vt:lpstr>
      <vt:lpstr>Indice Syntec</vt:lpstr>
      <vt:lpstr>'COUT PAR IP DES OUTILS'!Impression_des_titres</vt:lpstr>
      <vt:lpstr>'Facturation CNIV'!Impression_des_titres</vt:lpstr>
      <vt:lpstr>'COUT PAR IP DES OUTILS'!Zone_d_impression</vt:lpstr>
      <vt:lpstr>'Facturation CNIV'!Zone_d_impression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Visiteur</dc:creator>
  <cp:keywords/>
  <dc:description/>
  <cp:lastModifiedBy>Ségolène Camuset</cp:lastModifiedBy>
  <cp:revision>4</cp:revision>
  <cp:lastPrinted>2023-03-21T09:00:10Z</cp:lastPrinted>
  <dcterms:created xsi:type="dcterms:W3CDTF">2013-12-03T09:49:05Z</dcterms:created>
  <dcterms:modified xsi:type="dcterms:W3CDTF">2023-03-21T13:39:17Z</dcterms:modified>
  <cp:category/>
  <cp:contentStatus/>
</cp:coreProperties>
</file>